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K070\"/>
    </mc:Choice>
  </mc:AlternateContent>
  <bookViews>
    <workbookView xWindow="-225" yWindow="60" windowWidth="25050" windowHeight="12675"/>
  </bookViews>
  <sheets>
    <sheet name="K070002" sheetId="4" r:id="rId1"/>
    <sheet name="Sheet3" sheetId="3" r:id="rId2"/>
  </sheets>
  <definedNames>
    <definedName name="BA" localSheetId="0">'K070002'!#REF!</definedName>
    <definedName name="BA">Sheet3!$S$19</definedName>
    <definedName name="CE" localSheetId="0">'K070002'!#REF!</definedName>
    <definedName name="CE">Sheet3!$S$17</definedName>
    <definedName name="CEP" localSheetId="0">'K070002'!#REF!</definedName>
    <definedName name="CEP">Sheet3!$S$16</definedName>
    <definedName name="FM" localSheetId="0">'K070002'!#REF!</definedName>
    <definedName name="FM">Sheet3!$S$15</definedName>
    <definedName name="FP" localSheetId="0">#REF!</definedName>
    <definedName name="FP">#REF!</definedName>
    <definedName name="GRUP" localSheetId="0">'K070002'!#REF!</definedName>
    <definedName name="GRUP">Sheet3!$S$26</definedName>
    <definedName name="HE" localSheetId="0">'K070002'!#REF!</definedName>
    <definedName name="HE">Sheet3!$S$18</definedName>
    <definedName name="LA" localSheetId="0">'K070002'!#REF!</definedName>
    <definedName name="LA">Sheet3!$S$22</definedName>
    <definedName name="LAP" localSheetId="0">#REF!</definedName>
    <definedName name="LAP">#REF!</definedName>
    <definedName name="LO" localSheetId="0">'K070002'!#REF!</definedName>
    <definedName name="LO">Sheet3!$S$23</definedName>
    <definedName name="PR" localSheetId="0">'K070002'!#REF!</definedName>
    <definedName name="PR">Sheet3!$S$24</definedName>
    <definedName name="Pulp" localSheetId="0">'K070002'!#REF!</definedName>
    <definedName name="Pulp">Sheet3!$S$25</definedName>
    <definedName name="SP" localSheetId="0">'K070002'!#REF!</definedName>
    <definedName name="SP">Sheet3!$S$20</definedName>
    <definedName name="SPP" localSheetId="0">#REF!</definedName>
    <definedName name="SPP">#REF!</definedName>
    <definedName name="WH" localSheetId="0">'K070002'!#REF!</definedName>
    <definedName name="WH">Sheet3!$S$21</definedName>
  </definedNames>
  <calcPr calcId="152511"/>
</workbook>
</file>

<file path=xl/calcChain.xml><?xml version="1.0" encoding="utf-8"?>
<calcChain xmlns="http://schemas.openxmlformats.org/spreadsheetml/2006/main">
  <c r="M10" i="4" l="1"/>
  <c r="E7" i="4" l="1"/>
  <c r="D10" i="4"/>
  <c r="L8" i="4" l="1"/>
  <c r="E8" i="4" l="1"/>
  <c r="F2" i="4"/>
  <c r="H2" i="4" s="1"/>
  <c r="G8" i="4" l="1"/>
  <c r="L7" i="4" l="1"/>
  <c r="L10" i="4" s="1"/>
  <c r="L9" i="4"/>
  <c r="E9" i="4"/>
  <c r="E10" i="4" s="1"/>
  <c r="E27" i="4" l="1"/>
  <c r="D27" i="4"/>
  <c r="C27" i="4"/>
  <c r="E26" i="4"/>
  <c r="D26" i="4"/>
  <c r="C26" i="4"/>
  <c r="F25" i="4"/>
  <c r="E25" i="4"/>
  <c r="D25" i="4"/>
  <c r="C25" i="4"/>
  <c r="E24" i="4"/>
  <c r="D24" i="4"/>
  <c r="C24" i="4"/>
  <c r="E23" i="4"/>
  <c r="D23" i="4"/>
  <c r="C23" i="4"/>
  <c r="E22" i="4"/>
  <c r="D22" i="4"/>
  <c r="C22" i="4"/>
  <c r="J8" i="4" s="1"/>
  <c r="E21" i="4"/>
  <c r="D21" i="4"/>
  <c r="C21" i="4"/>
  <c r="J7" i="4" s="1"/>
  <c r="D13" i="4"/>
  <c r="C13" i="4"/>
  <c r="E13" i="4" s="1"/>
  <c r="J10" i="4" l="1"/>
  <c r="H8" i="4"/>
  <c r="M8" i="4" s="1"/>
  <c r="N8" i="4" s="1"/>
  <c r="K12" i="4"/>
  <c r="J9" i="4"/>
  <c r="G9" i="4"/>
  <c r="G7" i="4"/>
  <c r="E24" i="3"/>
  <c r="G10" i="4" l="1"/>
  <c r="K13" i="4"/>
  <c r="K14" i="4" s="1"/>
  <c r="H7" i="4"/>
  <c r="H9" i="4"/>
  <c r="F45" i="3"/>
  <c r="J18" i="3" s="1"/>
  <c r="L15" i="3"/>
  <c r="L16" i="3"/>
  <c r="L17" i="3"/>
  <c r="L18" i="3"/>
  <c r="L19" i="3"/>
  <c r="L20" i="3"/>
  <c r="L21" i="3"/>
  <c r="L22" i="3"/>
  <c r="L23" i="3"/>
  <c r="H10" i="3"/>
  <c r="E21" i="3"/>
  <c r="E18" i="3"/>
  <c r="E17" i="3"/>
  <c r="H10" i="4" l="1"/>
  <c r="E47" i="3"/>
  <c r="J17" i="3" s="1"/>
  <c r="D47" i="3"/>
  <c r="C47" i="3"/>
  <c r="E46" i="3"/>
  <c r="D46" i="3"/>
  <c r="C46" i="3"/>
  <c r="E45" i="3"/>
  <c r="D45" i="3"/>
  <c r="J26" i="3" s="1"/>
  <c r="C45" i="3"/>
  <c r="J24" i="3" s="1"/>
  <c r="E44" i="3"/>
  <c r="D44" i="3"/>
  <c r="C44" i="3"/>
  <c r="E43" i="3"/>
  <c r="D43" i="3"/>
  <c r="C43" i="3"/>
  <c r="J15" i="3" s="1"/>
  <c r="E42" i="3"/>
  <c r="D42" i="3"/>
  <c r="C42" i="3"/>
  <c r="E41" i="3"/>
  <c r="D41" i="3"/>
  <c r="C41" i="3"/>
  <c r="D37" i="3"/>
  <c r="C37" i="3"/>
  <c r="L35" i="3"/>
  <c r="L34" i="3"/>
  <c r="L33" i="3"/>
  <c r="L32" i="3"/>
  <c r="L31" i="3"/>
  <c r="D30" i="3"/>
  <c r="C30" i="3"/>
  <c r="E30" i="3" s="1"/>
  <c r="H24" i="3" s="1"/>
  <c r="D27" i="3"/>
  <c r="L26" i="3"/>
  <c r="F26" i="3"/>
  <c r="E26" i="3"/>
  <c r="P26" i="3" s="1"/>
  <c r="L25" i="3"/>
  <c r="J25" i="3"/>
  <c r="F25" i="3"/>
  <c r="E25" i="3"/>
  <c r="P25" i="3" s="1"/>
  <c r="L24" i="3"/>
  <c r="F24" i="3"/>
  <c r="P24" i="3"/>
  <c r="J23" i="3"/>
  <c r="E23" i="3"/>
  <c r="P23" i="3" s="1"/>
  <c r="J22" i="3"/>
  <c r="F22" i="3"/>
  <c r="E22" i="3"/>
  <c r="P22" i="3" s="1"/>
  <c r="J21" i="3"/>
  <c r="F21" i="3"/>
  <c r="P21" i="3"/>
  <c r="J20" i="3"/>
  <c r="F20" i="3"/>
  <c r="E20" i="3"/>
  <c r="P20" i="3" s="1"/>
  <c r="J19" i="3"/>
  <c r="F19" i="3"/>
  <c r="E19" i="3"/>
  <c r="P19" i="3" s="1"/>
  <c r="F18" i="3"/>
  <c r="P18" i="3"/>
  <c r="F17" i="3"/>
  <c r="P17" i="3"/>
  <c r="F16" i="3"/>
  <c r="E16" i="3"/>
  <c r="P16" i="3" s="1"/>
  <c r="F15" i="3"/>
  <c r="E15" i="3"/>
  <c r="P15" i="3" s="1"/>
  <c r="H23" i="3" l="1"/>
  <c r="H22" i="3"/>
  <c r="H15" i="3"/>
  <c r="H20" i="3"/>
  <c r="H16" i="3"/>
  <c r="L37" i="3"/>
  <c r="H8" i="3" s="1"/>
  <c r="H18" i="3"/>
  <c r="H17" i="3"/>
  <c r="H19" i="3"/>
  <c r="H21" i="3"/>
  <c r="G26" i="3"/>
  <c r="P27" i="3"/>
  <c r="G17" i="3"/>
  <c r="G18" i="3"/>
  <c r="G19" i="3"/>
  <c r="G20" i="3"/>
  <c r="G21" i="3"/>
  <c r="G22" i="3"/>
  <c r="G24" i="3"/>
  <c r="L27" i="3"/>
  <c r="I6" i="3" s="1"/>
  <c r="E27" i="3"/>
  <c r="D6" i="3" s="1"/>
  <c r="J27" i="3"/>
  <c r="G6" i="3" s="1"/>
  <c r="G15" i="3"/>
  <c r="G16" i="3"/>
  <c r="G25" i="3"/>
  <c r="H25" i="3"/>
  <c r="H26" i="3"/>
  <c r="M7" i="4" l="1"/>
  <c r="N7" i="4" s="1"/>
  <c r="M9" i="4"/>
  <c r="L8" i="3"/>
  <c r="F8" i="3"/>
  <c r="L28" i="3"/>
  <c r="H37" i="3"/>
  <c r="H9" i="3" s="1"/>
  <c r="H27" i="3"/>
  <c r="F6" i="3" s="1"/>
  <c r="B6" i="3"/>
  <c r="N10" i="4" l="1"/>
  <c r="N9" i="4"/>
  <c r="F7" i="3"/>
  <c r="I7" i="3"/>
  <c r="G7" i="3"/>
  <c r="M37" i="3"/>
  <c r="H6" i="3" s="1"/>
  <c r="K6" i="3" s="1"/>
  <c r="N37" i="3" l="1"/>
  <c r="H7" i="3" l="1"/>
  <c r="I26" i="3"/>
  <c r="I16" i="3"/>
  <c r="I15" i="3"/>
  <c r="M15" i="3" s="1"/>
  <c r="I25" i="3"/>
  <c r="M25" i="3" s="1"/>
  <c r="I24" i="3"/>
  <c r="I23" i="3"/>
  <c r="I22" i="3"/>
  <c r="I21" i="3"/>
  <c r="I20" i="3"/>
  <c r="I19" i="3"/>
  <c r="I18" i="3"/>
  <c r="I17" i="3"/>
  <c r="M20" i="3" l="1"/>
  <c r="N20" i="3" s="1"/>
  <c r="M24" i="3"/>
  <c r="N24" i="3" s="1"/>
  <c r="M17" i="3"/>
  <c r="N17" i="3" s="1"/>
  <c r="M18" i="3"/>
  <c r="N18" i="3" s="1"/>
  <c r="M22" i="3"/>
  <c r="N22" i="3" s="1"/>
  <c r="M19" i="3"/>
  <c r="N19" i="3" s="1"/>
  <c r="M16" i="3"/>
  <c r="N16" i="3" s="1"/>
  <c r="M26" i="3"/>
  <c r="N26" i="3" s="1"/>
  <c r="M21" i="3"/>
  <c r="N21" i="3" s="1"/>
  <c r="N25" i="3"/>
  <c r="N15" i="3"/>
  <c r="F23" i="3" l="1"/>
  <c r="M23" i="3" s="1"/>
  <c r="M27" i="3" s="1"/>
  <c r="G23" i="3" l="1"/>
  <c r="G27" i="3" s="1"/>
  <c r="E6" i="3" s="1"/>
  <c r="J6" i="3" s="1"/>
  <c r="N27" i="3"/>
  <c r="N23" i="3"/>
  <c r="E7" i="3" l="1"/>
  <c r="J7" i="3" l="1"/>
  <c r="L6" i="3"/>
  <c r="N6" i="3" s="1"/>
  <c r="E3" i="3" s="1"/>
  <c r="G2" i="3" s="1"/>
  <c r="G3" i="3" s="1"/>
  <c r="I3" i="3" s="1"/>
</calcChain>
</file>

<file path=xl/sharedStrings.xml><?xml version="1.0" encoding="utf-8"?>
<sst xmlns="http://schemas.openxmlformats.org/spreadsheetml/2006/main" count="188" uniqueCount="121">
  <si>
    <t>Upset</t>
  </si>
  <si>
    <t>10% of first 100k</t>
  </si>
  <si>
    <t>Term</t>
  </si>
  <si>
    <t>5% of Balance</t>
  </si>
  <si>
    <t>Total Stumpage</t>
  </si>
  <si>
    <t>Total Deposit</t>
  </si>
  <si>
    <t>Volume m3</t>
  </si>
  <si>
    <t>Value</t>
  </si>
  <si>
    <t>Logging</t>
  </si>
  <si>
    <t>Trucking</t>
  </si>
  <si>
    <t>Rd/Main/Oth</t>
  </si>
  <si>
    <t>Stand Rate</t>
  </si>
  <si>
    <t>Net Value</t>
  </si>
  <si>
    <r>
      <t>TT Cost $/m</t>
    </r>
    <r>
      <rPr>
        <b/>
        <vertAlign val="superscript"/>
        <sz val="9"/>
        <rFont val="Arial"/>
        <family val="2"/>
      </rPr>
      <t>3</t>
    </r>
  </si>
  <si>
    <r>
      <t>Margin $/m</t>
    </r>
    <r>
      <rPr>
        <b/>
        <vertAlign val="superscript"/>
        <sz val="9"/>
        <rFont val="Arial"/>
        <family val="2"/>
      </rPr>
      <t>3</t>
    </r>
  </si>
  <si>
    <t>Profit and Risk out</t>
  </si>
  <si>
    <r>
      <t>Bid $/m</t>
    </r>
    <r>
      <rPr>
        <b/>
        <vertAlign val="superscript"/>
        <sz val="9"/>
        <rFont val="Arial"/>
        <family val="2"/>
      </rPr>
      <t>3</t>
    </r>
  </si>
  <si>
    <t>Grand Total:</t>
  </si>
  <si>
    <r>
      <t>$/m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:</t>
    </r>
  </si>
  <si>
    <t>Value Table</t>
  </si>
  <si>
    <t>Species</t>
  </si>
  <si>
    <t>Grade</t>
  </si>
  <si>
    <t>Scale</t>
  </si>
  <si>
    <t>Cruise Volume m3</t>
  </si>
  <si>
    <t>Price/m3</t>
  </si>
  <si>
    <t>Gross Value</t>
  </si>
  <si>
    <t>TTT $/m3</t>
  </si>
  <si>
    <t>Other $/m3</t>
  </si>
  <si>
    <t>Trucking $/m3</t>
  </si>
  <si>
    <t>On-Grade %</t>
  </si>
  <si>
    <t>Stumpage $/m3</t>
  </si>
  <si>
    <t>Value/m3</t>
  </si>
  <si>
    <r>
      <t>Price/m</t>
    </r>
    <r>
      <rPr>
        <b/>
        <vertAlign val="superscript"/>
        <sz val="9"/>
        <rFont val="Arial"/>
        <family val="2"/>
      </rPr>
      <t>3</t>
    </r>
  </si>
  <si>
    <t>FD</t>
  </si>
  <si>
    <t>SL</t>
  </si>
  <si>
    <t>KLC</t>
  </si>
  <si>
    <t>Poles</t>
  </si>
  <si>
    <t>Stella</t>
  </si>
  <si>
    <t>CE poles</t>
  </si>
  <si>
    <t>CE</t>
  </si>
  <si>
    <t>Porcupine</t>
  </si>
  <si>
    <t>HE/BG</t>
  </si>
  <si>
    <t>BA</t>
  </si>
  <si>
    <t xml:space="preserve">SP </t>
  </si>
  <si>
    <t>WH</t>
  </si>
  <si>
    <t>LA</t>
  </si>
  <si>
    <t>LO</t>
  </si>
  <si>
    <t>Pulp</t>
  </si>
  <si>
    <t>Celgar</t>
  </si>
  <si>
    <t>HE/BG pulp</t>
  </si>
  <si>
    <t>green Pulp</t>
  </si>
  <si>
    <t>TOTAL</t>
  </si>
  <si>
    <t>Logging Rate</t>
  </si>
  <si>
    <t>Total TTT (m3)</t>
  </si>
  <si>
    <t>Some Steep Slope Logging (Slopes &gt;35%).</t>
  </si>
  <si>
    <t>Culverts</t>
  </si>
  <si>
    <t>Weighted Rate</t>
  </si>
  <si>
    <t>Unit Price</t>
  </si>
  <si>
    <t>Size (mm)</t>
  </si>
  <si>
    <t>Quantity</t>
  </si>
  <si>
    <t>Totals</t>
  </si>
  <si>
    <t>Logging System</t>
  </si>
  <si>
    <t>Ground</t>
  </si>
  <si>
    <t>Cable</t>
  </si>
  <si>
    <t>% of Permit</t>
  </si>
  <si>
    <t>Roads ($/m)</t>
  </si>
  <si>
    <t>New</t>
  </si>
  <si>
    <t>Temp</t>
  </si>
  <si>
    <t>New Construction</t>
  </si>
  <si>
    <t>Temp Road</t>
  </si>
  <si>
    <t>Reconstruction</t>
  </si>
  <si>
    <t>Deactivation</t>
  </si>
  <si>
    <t>Rehab</t>
  </si>
  <si>
    <t>Maintenance</t>
  </si>
  <si>
    <t>Grass Seed</t>
  </si>
  <si>
    <t xml:space="preserve">Pile Burning </t>
  </si>
  <si>
    <t>Total Other</t>
  </si>
  <si>
    <t>Total $/m3</t>
  </si>
  <si>
    <t>Trucking rate per tonne/hr</t>
  </si>
  <si>
    <t>Cycle Time</t>
  </si>
  <si>
    <t>Conversion</t>
  </si>
  <si>
    <t xml:space="preserve">Kalesnikoff </t>
  </si>
  <si>
    <t>SP/BA/LO/WH</t>
  </si>
  <si>
    <t>LO/WH Dry</t>
  </si>
  <si>
    <t>FI</t>
  </si>
  <si>
    <t>HE/GF</t>
  </si>
  <si>
    <t>Road</t>
  </si>
  <si>
    <t>Burning</t>
  </si>
  <si>
    <t xml:space="preserve">Adjusted Volume m3 </t>
  </si>
  <si>
    <t>Cruise Volume</t>
  </si>
  <si>
    <t>Est. Deliverable</t>
  </si>
  <si>
    <t>Volume</t>
  </si>
  <si>
    <t xml:space="preserve">appraisal </t>
  </si>
  <si>
    <t>difference</t>
  </si>
  <si>
    <t>Bid Deposit</t>
  </si>
  <si>
    <t>Remainder</t>
  </si>
  <si>
    <t>A91421 - Hills</t>
  </si>
  <si>
    <t>15 months</t>
  </si>
  <si>
    <t>91421 - Blk 1</t>
  </si>
  <si>
    <t>Vaagens</t>
  </si>
  <si>
    <t>10" HE (50%)</t>
  </si>
  <si>
    <t>10" HE</t>
  </si>
  <si>
    <t>CE Poles(24%)</t>
  </si>
  <si>
    <t>Downie</t>
  </si>
  <si>
    <t>Celgar 65 - HE/GF &lt;20% SL</t>
  </si>
  <si>
    <t>Cruise Volume Gross:</t>
  </si>
  <si>
    <t>Cruise Volume Net:</t>
  </si>
  <si>
    <t>PULP PROFORMA</t>
  </si>
  <si>
    <t>Celgar Stratum 65</t>
  </si>
  <si>
    <t>-</t>
  </si>
  <si>
    <t>Stumpage Rate:</t>
  </si>
  <si>
    <t>Grade 1/2 Vol m3</t>
  </si>
  <si>
    <t>Grade 4/6/Z Vol m3</t>
  </si>
  <si>
    <t>DP:</t>
  </si>
  <si>
    <t>Celgar 85 WW Grn/Dry &lt;20% SL</t>
  </si>
  <si>
    <t>Celgar 86 GRWW/LA tops&lt;20%SLSS</t>
  </si>
  <si>
    <t>Celgar Stratum 85</t>
  </si>
  <si>
    <t>Celgar Stratum 86</t>
  </si>
  <si>
    <t>Est. Pulp &amp; G6:</t>
  </si>
  <si>
    <t>Area (ha):</t>
  </si>
  <si>
    <t>K070002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</si>
</sst>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* #,##0_-;\-* #,##0_-;_-* &quot;-&quot;??_-;_-@_-"/>
    <numFmt numFmtId="166" formatCode="0.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9"/>
      <color indexed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164" fontId="4" fillId="3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/>
    <xf numFmtId="164" fontId="4" fillId="0" borderId="2" xfId="3" applyNumberFormat="1" applyFont="1" applyFill="1" applyBorder="1"/>
    <xf numFmtId="164" fontId="4" fillId="0" borderId="2" xfId="3" applyNumberFormat="1" applyFont="1" applyFill="1" applyBorder="1" applyAlignment="1">
      <alignment horizontal="center"/>
    </xf>
    <xf numFmtId="10" fontId="5" fillId="0" borderId="2" xfId="3" applyNumberFormat="1" applyFont="1" applyFill="1" applyBorder="1"/>
    <xf numFmtId="10" fontId="4" fillId="0" borderId="2" xfId="3" applyNumberFormat="1" applyFont="1" applyFill="1" applyBorder="1" applyAlignment="1">
      <alignment horizontal="center"/>
    </xf>
    <xf numFmtId="164" fontId="4" fillId="0" borderId="4" xfId="3" applyNumberFormat="1" applyFont="1" applyFill="1" applyBorder="1"/>
    <xf numFmtId="0" fontId="4" fillId="0" borderId="0" xfId="3" applyFont="1"/>
    <xf numFmtId="0" fontId="5" fillId="0" borderId="0" xfId="3" applyFont="1"/>
    <xf numFmtId="1" fontId="4" fillId="3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164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/>
    <xf numFmtId="164" fontId="5" fillId="0" borderId="7" xfId="3" applyNumberFormat="1" applyFont="1" applyFill="1" applyBorder="1"/>
    <xf numFmtId="10" fontId="4" fillId="3" borderId="11" xfId="3" applyNumberFormat="1" applyFont="1" applyFill="1" applyBorder="1" applyAlignment="1">
      <alignment horizontal="center"/>
    </xf>
    <xf numFmtId="164" fontId="5" fillId="0" borderId="9" xfId="3" applyNumberFormat="1" applyFont="1" applyFill="1" applyBorder="1" applyAlignment="1">
      <alignment horizontal="center"/>
    </xf>
    <xf numFmtId="164" fontId="5" fillId="0" borderId="9" xfId="3" applyNumberFormat="1" applyFont="1" applyFill="1" applyBorder="1"/>
    <xf numFmtId="0" fontId="5" fillId="0" borderId="9" xfId="3" applyFont="1" applyFill="1" applyBorder="1"/>
    <xf numFmtId="10" fontId="5" fillId="0" borderId="9" xfId="3" applyNumberFormat="1" applyFont="1" applyFill="1" applyBorder="1"/>
    <xf numFmtId="164" fontId="5" fillId="0" borderId="12" xfId="3" applyNumberFormat="1" applyFont="1" applyFill="1" applyBorder="1"/>
    <xf numFmtId="0" fontId="5" fillId="0" borderId="5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1" fontId="5" fillId="0" borderId="0" xfId="3" applyNumberFormat="1" applyFont="1" applyBorder="1"/>
    <xf numFmtId="164" fontId="5" fillId="0" borderId="0" xfId="3" applyNumberFormat="1" applyFont="1" applyBorder="1"/>
    <xf numFmtId="10" fontId="5" fillId="0" borderId="0" xfId="3" applyNumberFormat="1" applyFont="1" applyBorder="1"/>
    <xf numFmtId="164" fontId="5" fillId="0" borderId="7" xfId="3" applyNumberFormat="1" applyFont="1" applyBorder="1"/>
    <xf numFmtId="0" fontId="4" fillId="0" borderId="5" xfId="3" applyFont="1" applyBorder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" fontId="4" fillId="3" borderId="13" xfId="3" applyNumberFormat="1" applyFont="1" applyFill="1" applyBorder="1" applyAlignment="1">
      <alignment horizontal="center"/>
    </xf>
    <xf numFmtId="164" fontId="4" fillId="3" borderId="13" xfId="3" applyNumberFormat="1" applyFont="1" applyFill="1" applyBorder="1" applyAlignment="1">
      <alignment horizontal="center"/>
    </xf>
    <xf numFmtId="0" fontId="4" fillId="3" borderId="13" xfId="3" applyFont="1" applyFill="1" applyBorder="1" applyAlignment="1">
      <alignment horizontal="center"/>
    </xf>
    <xf numFmtId="0" fontId="4" fillId="3" borderId="13" xfId="3" applyFont="1" applyFill="1" applyBorder="1"/>
    <xf numFmtId="164" fontId="4" fillId="3" borderId="14" xfId="3" applyNumberFormat="1" applyFont="1" applyFill="1" applyBorder="1" applyAlignment="1">
      <alignment horizontal="center"/>
    </xf>
    <xf numFmtId="0" fontId="4" fillId="0" borderId="0" xfId="3" applyFont="1" applyBorder="1" applyAlignment="1">
      <alignment horizontal="right"/>
    </xf>
    <xf numFmtId="1" fontId="5" fillId="0" borderId="15" xfId="3" applyNumberFormat="1" applyFont="1" applyBorder="1" applyAlignment="1">
      <alignment horizontal="center"/>
    </xf>
    <xf numFmtId="164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 applyAlignment="1">
      <alignment horizontal="center"/>
    </xf>
    <xf numFmtId="164" fontId="5" fillId="0" borderId="18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4" borderId="7" xfId="3" applyNumberFormat="1" applyFont="1" applyFill="1" applyBorder="1" applyAlignment="1">
      <alignment horizontal="center"/>
    </xf>
    <xf numFmtId="0" fontId="5" fillId="0" borderId="19" xfId="3" applyFont="1" applyBorder="1"/>
    <xf numFmtId="0" fontId="5" fillId="0" borderId="20" xfId="3" applyFont="1" applyBorder="1"/>
    <xf numFmtId="0" fontId="4" fillId="0" borderId="20" xfId="3" applyFont="1" applyBorder="1" applyAlignment="1">
      <alignment horizontal="right"/>
    </xf>
    <xf numFmtId="1" fontId="5" fillId="0" borderId="20" xfId="3" applyNumberFormat="1" applyFont="1" applyBorder="1"/>
    <xf numFmtId="164" fontId="5" fillId="0" borderId="20" xfId="3" applyNumberFormat="1" applyFont="1" applyBorder="1" applyAlignment="1">
      <alignment horizontal="center"/>
    </xf>
    <xf numFmtId="10" fontId="5" fillId="0" borderId="20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0" xfId="3" applyNumberFormat="1" applyFont="1"/>
    <xf numFmtId="0" fontId="2" fillId="0" borderId="0" xfId="3"/>
    <xf numFmtId="0" fontId="2" fillId="0" borderId="0" xfId="3" applyAlignment="1">
      <alignment horizontal="left"/>
    </xf>
    <xf numFmtId="1" fontId="2" fillId="0" borderId="0" xfId="3" applyNumberFormat="1"/>
    <xf numFmtId="1" fontId="7" fillId="0" borderId="0" xfId="3" applyNumberFormat="1" applyFont="1" applyAlignment="1">
      <alignment horizontal="right"/>
    </xf>
    <xf numFmtId="164" fontId="2" fillId="0" borderId="0" xfId="3" applyNumberFormat="1"/>
    <xf numFmtId="10" fontId="2" fillId="0" borderId="0" xfId="3" applyNumberFormat="1"/>
    <xf numFmtId="164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/>
    <xf numFmtId="164" fontId="4" fillId="2" borderId="2" xfId="3" applyNumberFormat="1" applyFont="1" applyFill="1" applyBorder="1"/>
    <xf numFmtId="10" fontId="5" fillId="2" borderId="2" xfId="3" applyNumberFormat="1" applyFont="1" applyFill="1" applyBorder="1"/>
    <xf numFmtId="164" fontId="4" fillId="2" borderId="4" xfId="3" applyNumberFormat="1" applyFont="1" applyFill="1" applyBorder="1"/>
    <xf numFmtId="1" fontId="4" fillId="2" borderId="0" xfId="3" applyNumberFormat="1" applyFont="1" applyFill="1" applyBorder="1" applyAlignment="1">
      <alignment horizontal="center"/>
    </xf>
    <xf numFmtId="1" fontId="5" fillId="2" borderId="0" xfId="3" applyNumberFormat="1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/>
    <xf numFmtId="164" fontId="5" fillId="2" borderId="7" xfId="3" applyNumberFormat="1" applyFont="1" applyFill="1" applyBorder="1"/>
    <xf numFmtId="0" fontId="5" fillId="2" borderId="0" xfId="3" applyFont="1" applyFill="1" applyBorder="1"/>
    <xf numFmtId="0" fontId="4" fillId="3" borderId="24" xfId="3" applyFont="1" applyFill="1" applyBorder="1" applyAlignment="1">
      <alignment horizontal="center"/>
    </xf>
    <xf numFmtId="0" fontId="4" fillId="3" borderId="25" xfId="3" applyFont="1" applyFill="1" applyBorder="1" applyAlignment="1">
      <alignment horizontal="center"/>
    </xf>
    <xf numFmtId="1" fontId="4" fillId="3" borderId="25" xfId="3" applyNumberFormat="1" applyFont="1" applyFill="1" applyBorder="1" applyAlignment="1">
      <alignment horizontal="center"/>
    </xf>
    <xf numFmtId="164" fontId="4" fillId="3" borderId="25" xfId="3" applyNumberFormat="1" applyFont="1" applyFill="1" applyBorder="1" applyAlignment="1">
      <alignment horizontal="center"/>
    </xf>
    <xf numFmtId="10" fontId="4" fillId="3" borderId="25" xfId="3" applyNumberFormat="1" applyFont="1" applyFill="1" applyBorder="1" applyAlignment="1">
      <alignment horizontal="center"/>
    </xf>
    <xf numFmtId="164" fontId="4" fillId="3" borderId="2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3" borderId="27" xfId="3" applyFont="1" applyFill="1" applyBorder="1" applyAlignment="1">
      <alignment horizontal="center"/>
    </xf>
    <xf numFmtId="0" fontId="4" fillId="3" borderId="28" xfId="3" applyFont="1" applyFill="1" applyBorder="1" applyAlignment="1">
      <alignment horizontal="center"/>
    </xf>
    <xf numFmtId="0" fontId="5" fillId="0" borderId="24" xfId="3" applyFont="1" applyBorder="1"/>
    <xf numFmtId="0" fontId="5" fillId="0" borderId="25" xfId="3" applyFont="1" applyBorder="1" applyAlignment="1">
      <alignment horizontal="center"/>
    </xf>
    <xf numFmtId="165" fontId="5" fillId="0" borderId="25" xfId="1" applyNumberFormat="1" applyFont="1" applyFill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9" fontId="5" fillId="0" borderId="29" xfId="3" applyNumberFormat="1" applyFont="1" applyBorder="1" applyAlignment="1">
      <alignment horizontal="center"/>
    </xf>
    <xf numFmtId="164" fontId="5" fillId="0" borderId="25" xfId="3" applyNumberFormat="1" applyFont="1" applyFill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26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14" xfId="3" applyFont="1" applyBorder="1"/>
    <xf numFmtId="0" fontId="5" fillId="0" borderId="31" xfId="3" applyFont="1" applyBorder="1"/>
    <xf numFmtId="0" fontId="5" fillId="0" borderId="32" xfId="3" applyFont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32" xfId="1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center"/>
    </xf>
    <xf numFmtId="9" fontId="5" fillId="0" borderId="18" xfId="3" applyNumberFormat="1" applyFont="1" applyBorder="1" applyAlignment="1">
      <alignment horizontal="center"/>
    </xf>
    <xf numFmtId="164" fontId="5" fillId="0" borderId="32" xfId="3" applyNumberFormat="1" applyFont="1" applyFill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5" fontId="5" fillId="0" borderId="0" xfId="3" applyNumberFormat="1" applyFont="1"/>
    <xf numFmtId="0" fontId="5" fillId="0" borderId="33" xfId="3" applyFont="1" applyBorder="1" applyAlignment="1">
      <alignment horizontal="right"/>
    </xf>
    <xf numFmtId="0" fontId="5" fillId="0" borderId="34" xfId="3" applyFont="1" applyBorder="1" applyAlignment="1">
      <alignment horizontal="center"/>
    </xf>
    <xf numFmtId="165" fontId="5" fillId="0" borderId="34" xfId="1" applyNumberFormat="1" applyFont="1" applyFill="1" applyBorder="1" applyAlignment="1">
      <alignment horizontal="center"/>
    </xf>
    <xf numFmtId="165" fontId="5" fillId="0" borderId="34" xfId="1" applyNumberFormat="1" applyFont="1" applyBorder="1" applyAlignment="1">
      <alignment horizontal="center"/>
    </xf>
    <xf numFmtId="164" fontId="5" fillId="0" borderId="34" xfId="3" applyNumberFormat="1" applyFont="1" applyBorder="1" applyAlignment="1">
      <alignment horizontal="center"/>
    </xf>
    <xf numFmtId="9" fontId="5" fillId="0" borderId="35" xfId="3" applyNumberFormat="1" applyFont="1" applyBorder="1" applyAlignment="1">
      <alignment horizontal="center"/>
    </xf>
    <xf numFmtId="164" fontId="5" fillId="0" borderId="34" xfId="3" applyNumberFormat="1" applyFont="1" applyFill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0" fontId="5" fillId="0" borderId="38" xfId="3" applyFont="1" applyBorder="1"/>
    <xf numFmtId="0" fontId="5" fillId="0" borderId="39" xfId="3" applyFont="1" applyBorder="1"/>
    <xf numFmtId="0" fontId="4" fillId="0" borderId="19" xfId="3" applyFont="1" applyBorder="1"/>
    <xf numFmtId="0" fontId="4" fillId="0" borderId="34" xfId="3" applyFont="1" applyBorder="1"/>
    <xf numFmtId="0" fontId="4" fillId="0" borderId="34" xfId="3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4" fontId="4" fillId="0" borderId="34" xfId="3" applyNumberFormat="1" applyFont="1" applyBorder="1" applyAlignment="1">
      <alignment horizontal="center"/>
    </xf>
    <xf numFmtId="164" fontId="4" fillId="0" borderId="37" xfId="3" applyNumberFormat="1" applyFont="1" applyFill="1" applyBorder="1" applyAlignment="1">
      <alignment horizontal="center"/>
    </xf>
    <xf numFmtId="164" fontId="4" fillId="5" borderId="21" xfId="3" applyNumberFormat="1" applyFont="1" applyFill="1" applyBorder="1" applyAlignment="1">
      <alignment horizontal="center"/>
    </xf>
    <xf numFmtId="0" fontId="5" fillId="0" borderId="1" xfId="3" applyFont="1" applyBorder="1" applyAlignment="1"/>
    <xf numFmtId="0" fontId="5" fillId="0" borderId="2" xfId="3" applyFont="1" applyBorder="1" applyAlignment="1"/>
    <xf numFmtId="0" fontId="5" fillId="0" borderId="4" xfId="3" applyFont="1" applyBorder="1" applyAlignment="1"/>
    <xf numFmtId="164" fontId="5" fillId="0" borderId="25" xfId="2" applyNumberFormat="1" applyFont="1" applyBorder="1" applyAlignment="1">
      <alignment horizontal="center"/>
    </xf>
    <xf numFmtId="164" fontId="4" fillId="0" borderId="29" xfId="2" applyNumberFormat="1" applyFont="1" applyBorder="1" applyAlignment="1">
      <alignment horizontal="center"/>
    </xf>
    <xf numFmtId="164" fontId="5" fillId="0" borderId="0" xfId="3" applyNumberFormat="1" applyFont="1" applyBorder="1" applyAlignment="1"/>
    <xf numFmtId="164" fontId="5" fillId="0" borderId="7" xfId="3" applyNumberFormat="1" applyFont="1" applyBorder="1" applyAlignment="1"/>
    <xf numFmtId="164" fontId="4" fillId="0" borderId="18" xfId="3" applyNumberFormat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3" xfId="3" applyNumberFormat="1" applyFont="1" applyBorder="1" applyAlignment="1">
      <alignment horizontal="center"/>
    </xf>
    <xf numFmtId="10" fontId="5" fillId="0" borderId="15" xfId="3" applyNumberFormat="1" applyFont="1" applyBorder="1" applyAlignment="1">
      <alignment horizontal="center"/>
    </xf>
    <xf numFmtId="164" fontId="5" fillId="0" borderId="14" xfId="3" applyNumberFormat="1" applyFont="1" applyBorder="1" applyAlignment="1">
      <alignment horizontal="center"/>
    </xf>
    <xf numFmtId="0" fontId="4" fillId="0" borderId="32" xfId="3" applyFont="1" applyBorder="1" applyAlignment="1">
      <alignment horizontal="center"/>
    </xf>
    <xf numFmtId="44" fontId="4" fillId="0" borderId="18" xfId="2" applyFont="1" applyBorder="1" applyAlignment="1">
      <alignment horizontal="center"/>
    </xf>
    <xf numFmtId="164" fontId="5" fillId="0" borderId="44" xfId="3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1" fontId="5" fillId="0" borderId="40" xfId="1" applyNumberFormat="1" applyFont="1" applyBorder="1" applyAlignment="1">
      <alignment horizontal="center"/>
    </xf>
    <xf numFmtId="164" fontId="5" fillId="0" borderId="46" xfId="3" applyNumberFormat="1" applyFont="1" applyBorder="1" applyAlignment="1">
      <alignment horizontal="center"/>
    </xf>
    <xf numFmtId="9" fontId="5" fillId="0" borderId="34" xfId="3" applyNumberFormat="1" applyFont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0" fontId="5" fillId="0" borderId="32" xfId="1" applyNumberFormat="1" applyFont="1" applyBorder="1" applyAlignment="1">
      <alignment horizontal="center"/>
    </xf>
    <xf numFmtId="1" fontId="5" fillId="0" borderId="18" xfId="1" applyNumberFormat="1" applyFont="1" applyBorder="1" applyAlignment="1">
      <alignment horizontal="center"/>
    </xf>
    <xf numFmtId="0" fontId="5" fillId="0" borderId="48" xfId="3" applyFont="1" applyBorder="1" applyAlignment="1">
      <alignment horizontal="center"/>
    </xf>
    <xf numFmtId="1" fontId="5" fillId="0" borderId="48" xfId="3" applyNumberFormat="1" applyFont="1" applyBorder="1"/>
    <xf numFmtId="1" fontId="5" fillId="0" borderId="49" xfId="3" applyNumberFormat="1" applyFont="1" applyBorder="1" applyAlignment="1">
      <alignment horizontal="center"/>
    </xf>
    <xf numFmtId="1" fontId="5" fillId="0" borderId="48" xfId="3" applyNumberFormat="1" applyFont="1" applyBorder="1" applyAlignment="1">
      <alignment horizontal="center"/>
    </xf>
    <xf numFmtId="164" fontId="5" fillId="0" borderId="50" xfId="3" applyNumberFormat="1" applyFont="1" applyBorder="1"/>
    <xf numFmtId="164" fontId="5" fillId="0" borderId="20" xfId="3" applyNumberFormat="1" applyFont="1" applyBorder="1" applyAlignment="1"/>
    <xf numFmtId="164" fontId="5" fillId="0" borderId="21" xfId="3" applyNumberFormat="1" applyFont="1" applyBorder="1" applyAlignment="1"/>
    <xf numFmtId="0" fontId="4" fillId="3" borderId="51" xfId="3" applyFont="1" applyFill="1" applyBorder="1" applyAlignment="1">
      <alignment horizontal="center"/>
    </xf>
    <xf numFmtId="0" fontId="4" fillId="3" borderId="48" xfId="3" applyFont="1" applyFill="1" applyBorder="1" applyAlignment="1">
      <alignment horizontal="center"/>
    </xf>
    <xf numFmtId="1" fontId="4" fillId="3" borderId="49" xfId="3" applyNumberFormat="1" applyFont="1" applyFill="1" applyBorder="1" applyAlignment="1">
      <alignment horizontal="center"/>
    </xf>
    <xf numFmtId="1" fontId="4" fillId="3" borderId="48" xfId="3" applyNumberFormat="1" applyFont="1" applyFill="1" applyBorder="1" applyAlignment="1">
      <alignment horizontal="center"/>
    </xf>
    <xf numFmtId="164" fontId="4" fillId="3" borderId="49" xfId="3" applyNumberFormat="1" applyFont="1" applyFill="1" applyBorder="1" applyAlignment="1">
      <alignment horizontal="center"/>
    </xf>
    <xf numFmtId="164" fontId="4" fillId="3" borderId="48" xfId="3" applyNumberFormat="1" applyFont="1" applyFill="1" applyBorder="1" applyAlignment="1">
      <alignment horizontal="center"/>
    </xf>
    <xf numFmtId="10" fontId="4" fillId="3" borderId="48" xfId="3" applyNumberFormat="1" applyFont="1" applyFill="1" applyBorder="1" applyAlignment="1">
      <alignment horizontal="center"/>
    </xf>
    <xf numFmtId="164" fontId="4" fillId="3" borderId="52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64" fontId="5" fillId="0" borderId="51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center"/>
    </xf>
    <xf numFmtId="164" fontId="5" fillId="0" borderId="49" xfId="3" applyNumberFormat="1" applyFont="1" applyBorder="1" applyAlignment="1">
      <alignment horizontal="center"/>
    </xf>
    <xf numFmtId="164" fontId="4" fillId="0" borderId="48" xfId="3" applyNumberFormat="1" applyFont="1" applyBorder="1" applyAlignment="1">
      <alignment horizontal="center"/>
    </xf>
    <xf numFmtId="164" fontId="4" fillId="0" borderId="52" xfId="3" applyNumberFormat="1" applyFont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/>
    <xf numFmtId="164" fontId="4" fillId="0" borderId="0" xfId="3" applyNumberFormat="1" applyFont="1" applyBorder="1" applyAlignment="1">
      <alignment horizontal="center"/>
    </xf>
    <xf numFmtId="0" fontId="4" fillId="0" borderId="5" xfId="3" applyFont="1" applyFill="1" applyBorder="1"/>
    <xf numFmtId="0" fontId="4" fillId="0" borderId="22" xfId="3" applyFont="1" applyFill="1" applyBorder="1" applyAlignment="1">
      <alignment horizontal="center"/>
    </xf>
    <xf numFmtId="166" fontId="4" fillId="0" borderId="49" xfId="3" applyNumberFormat="1" applyFont="1" applyFill="1" applyBorder="1" applyAlignment="1">
      <alignment horizontal="center"/>
    </xf>
    <xf numFmtId="166" fontId="4" fillId="0" borderId="23" xfId="3" applyNumberFormat="1" applyFont="1" applyFill="1" applyBorder="1" applyAlignment="1">
      <alignment horizontal="center"/>
    </xf>
    <xf numFmtId="0" fontId="5" fillId="0" borderId="5" xfId="3" applyFont="1" applyFill="1" applyBorder="1"/>
    <xf numFmtId="0" fontId="4" fillId="3" borderId="0" xfId="3" applyFont="1" applyFill="1" applyBorder="1" applyAlignment="1">
      <alignment horizontal="center"/>
    </xf>
    <xf numFmtId="1" fontId="4" fillId="3" borderId="7" xfId="3" applyNumberFormat="1" applyFont="1" applyFill="1" applyBorder="1" applyAlignment="1">
      <alignment horizontal="center"/>
    </xf>
    <xf numFmtId="0" fontId="4" fillId="3" borderId="5" xfId="3" applyFont="1" applyFill="1" applyBorder="1"/>
    <xf numFmtId="2" fontId="4" fillId="0" borderId="0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7" xfId="3" applyNumberFormat="1" applyFont="1" applyFill="1" applyBorder="1" applyAlignment="1">
      <alignment horizontal="center"/>
    </xf>
    <xf numFmtId="0" fontId="8" fillId="0" borderId="0" xfId="3" applyFont="1"/>
    <xf numFmtId="0" fontId="4" fillId="3" borderId="19" xfId="3" applyFont="1" applyFill="1" applyBorder="1"/>
    <xf numFmtId="2" fontId="4" fillId="0" borderId="20" xfId="3" applyNumberFormat="1" applyFont="1" applyFill="1" applyBorder="1" applyAlignment="1">
      <alignment horizontal="center"/>
    </xf>
    <xf numFmtId="2" fontId="5" fillId="0" borderId="20" xfId="3" applyNumberFormat="1" applyFont="1" applyFill="1" applyBorder="1" applyAlignment="1">
      <alignment horizontal="center"/>
    </xf>
    <xf numFmtId="2" fontId="5" fillId="0" borderId="21" xfId="3" applyNumberFormat="1" applyFont="1" applyFill="1" applyBorder="1" applyAlignment="1">
      <alignment horizontal="center"/>
    </xf>
    <xf numFmtId="0" fontId="5" fillId="5" borderId="0" xfId="3" applyFont="1" applyFill="1"/>
    <xf numFmtId="164" fontId="2" fillId="0" borderId="0" xfId="3" applyNumberFormat="1" applyAlignment="1">
      <alignment horizontal="right"/>
    </xf>
    <xf numFmtId="164" fontId="2" fillId="0" borderId="0" xfId="3" applyNumberFormat="1" applyFont="1" applyAlignment="1">
      <alignment horizontal="right"/>
    </xf>
    <xf numFmtId="165" fontId="5" fillId="0" borderId="5" xfId="3" applyNumberFormat="1" applyFont="1" applyBorder="1" applyAlignment="1">
      <alignment horizontal="center"/>
    </xf>
    <xf numFmtId="9" fontId="5" fillId="0" borderId="0" xfId="4" applyFont="1" applyBorder="1" applyAlignment="1">
      <alignment horizontal="center"/>
    </xf>
    <xf numFmtId="165" fontId="4" fillId="0" borderId="0" xfId="3" applyNumberFormat="1" applyFont="1"/>
    <xf numFmtId="10" fontId="2" fillId="0" borderId="0" xfId="3" applyNumberFormat="1" applyAlignment="1">
      <alignment horizontal="right"/>
    </xf>
    <xf numFmtId="2" fontId="2" fillId="0" borderId="0" xfId="3" applyNumberFormat="1"/>
    <xf numFmtId="10" fontId="4" fillId="3" borderId="0" xfId="3" applyNumberFormat="1" applyFont="1" applyFill="1" applyBorder="1" applyAlignment="1">
      <alignment horizontal="right"/>
    </xf>
    <xf numFmtId="10" fontId="4" fillId="3" borderId="2" xfId="3" applyNumberFormat="1" applyFont="1" applyFill="1" applyBorder="1" applyAlignment="1">
      <alignment horizontal="right"/>
    </xf>
    <xf numFmtId="164" fontId="4" fillId="3" borderId="9" xfId="3" applyNumberFormat="1" applyFont="1" applyFill="1" applyBorder="1" applyAlignment="1">
      <alignment horizontal="right"/>
    </xf>
    <xf numFmtId="10" fontId="4" fillId="3" borderId="9" xfId="3" applyNumberFormat="1" applyFont="1" applyFill="1" applyBorder="1" applyAlignment="1">
      <alignment horizontal="right"/>
    </xf>
    <xf numFmtId="43" fontId="4" fillId="0" borderId="40" xfId="3" applyNumberFormat="1" applyFont="1" applyBorder="1"/>
    <xf numFmtId="0" fontId="4" fillId="0" borderId="53" xfId="3" applyFont="1" applyBorder="1"/>
    <xf numFmtId="0" fontId="4" fillId="0" borderId="54" xfId="3" applyFont="1" applyBorder="1"/>
    <xf numFmtId="0" fontId="5" fillId="0" borderId="18" xfId="3" applyFont="1" applyBorder="1"/>
    <xf numFmtId="44" fontId="5" fillId="0" borderId="0" xfId="2" applyFont="1" applyBorder="1"/>
    <xf numFmtId="0" fontId="5" fillId="0" borderId="6" xfId="3" applyFont="1" applyBorder="1"/>
    <xf numFmtId="164" fontId="5" fillId="0" borderId="18" xfId="3" applyNumberFormat="1" applyFont="1" applyBorder="1"/>
    <xf numFmtId="164" fontId="5" fillId="0" borderId="6" xfId="3" applyNumberFormat="1" applyFont="1" applyBorder="1"/>
    <xf numFmtId="165" fontId="5" fillId="0" borderId="11" xfId="3" applyNumberFormat="1" applyFont="1" applyBorder="1" applyAlignment="1">
      <alignment horizontal="right"/>
    </xf>
    <xf numFmtId="165" fontId="5" fillId="0" borderId="9" xfId="3" applyNumberFormat="1" applyFont="1" applyBorder="1"/>
    <xf numFmtId="0" fontId="5" fillId="0" borderId="9" xfId="3" applyFont="1" applyBorder="1"/>
    <xf numFmtId="164" fontId="4" fillId="0" borderId="9" xfId="3" applyNumberFormat="1" applyFont="1" applyBorder="1"/>
    <xf numFmtId="164" fontId="4" fillId="0" borderId="10" xfId="3" applyNumberFormat="1" applyFont="1" applyBorder="1"/>
    <xf numFmtId="164" fontId="5" fillId="0" borderId="0" xfId="3" applyNumberFormat="1" applyFont="1" applyBorder="1" applyAlignment="1">
      <alignment horizontal="right"/>
    </xf>
    <xf numFmtId="164" fontId="5" fillId="0" borderId="32" xfId="3" applyNumberFormat="1" applyFont="1" applyBorder="1"/>
    <xf numFmtId="9" fontId="5" fillId="0" borderId="32" xfId="3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right"/>
    </xf>
    <xf numFmtId="164" fontId="5" fillId="0" borderId="33" xfId="3" applyNumberFormat="1" applyFont="1" applyBorder="1"/>
    <xf numFmtId="164" fontId="5" fillId="0" borderId="6" xfId="3" applyNumberFormat="1" applyFont="1" applyBorder="1" applyAlignment="1">
      <alignment horizontal="right"/>
    </xf>
    <xf numFmtId="0" fontId="4" fillId="0" borderId="22" xfId="3" applyFont="1" applyBorder="1"/>
    <xf numFmtId="0" fontId="4" fillId="0" borderId="48" xfId="3" applyFont="1" applyBorder="1"/>
    <xf numFmtId="0" fontId="4" fillId="0" borderId="48" xfId="3" applyFont="1" applyBorder="1" applyAlignment="1">
      <alignment horizontal="center"/>
    </xf>
    <xf numFmtId="165" fontId="4" fillId="0" borderId="48" xfId="1" applyNumberFormat="1" applyFont="1" applyBorder="1" applyAlignment="1">
      <alignment horizontal="center"/>
    </xf>
    <xf numFmtId="164" fontId="4" fillId="0" borderId="48" xfId="3" applyNumberFormat="1" applyFont="1" applyBorder="1"/>
    <xf numFmtId="164" fontId="4" fillId="0" borderId="50" xfId="3" applyNumberFormat="1" applyFont="1" applyBorder="1" applyAlignment="1">
      <alignment horizontal="center"/>
    </xf>
    <xf numFmtId="164" fontId="4" fillId="0" borderId="49" xfId="3" applyNumberFormat="1" applyFont="1" applyBorder="1" applyAlignment="1">
      <alignment horizontal="center"/>
    </xf>
    <xf numFmtId="164" fontId="4" fillId="0" borderId="48" xfId="3" applyNumberFormat="1" applyFont="1" applyFill="1" applyBorder="1"/>
    <xf numFmtId="164" fontId="4" fillId="5" borderId="23" xfId="3" applyNumberFormat="1" applyFont="1" applyFill="1" applyBorder="1"/>
    <xf numFmtId="43" fontId="5" fillId="0" borderId="0" xfId="3" applyNumberFormat="1" applyFont="1"/>
    <xf numFmtId="167" fontId="5" fillId="0" borderId="0" xfId="3" applyNumberFormat="1" applyFont="1" applyBorder="1" applyAlignment="1">
      <alignment horizontal="center"/>
    </xf>
    <xf numFmtId="0" fontId="2" fillId="0" borderId="0" xfId="3" applyAlignment="1">
      <alignment horizontal="center"/>
    </xf>
    <xf numFmtId="164" fontId="7" fillId="0" borderId="0" xfId="3" applyNumberFormat="1" applyFont="1" applyAlignment="1">
      <alignment horizontal="right"/>
    </xf>
    <xf numFmtId="44" fontId="2" fillId="0" borderId="0" xfId="2" applyFont="1"/>
    <xf numFmtId="0" fontId="5" fillId="0" borderId="5" xfId="3" applyFont="1" applyBorder="1" applyAlignment="1"/>
    <xf numFmtId="0" fontId="5" fillId="0" borderId="0" xfId="3" applyFont="1" applyBorder="1" applyAlignment="1"/>
    <xf numFmtId="2" fontId="5" fillId="0" borderId="9" xfId="3" applyNumberFormat="1" applyFont="1" applyFill="1" applyBorder="1" applyAlignment="1">
      <alignment horizontal="center"/>
    </xf>
    <xf numFmtId="0" fontId="4" fillId="0" borderId="55" xfId="3" applyFont="1" applyBorder="1"/>
    <xf numFmtId="164" fontId="4" fillId="0" borderId="34" xfId="3" applyNumberFormat="1" applyFont="1" applyFill="1" applyBorder="1" applyAlignment="1">
      <alignment horizontal="center"/>
    </xf>
    <xf numFmtId="164" fontId="4" fillId="5" borderId="37" xfId="3" applyNumberFormat="1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9" fontId="5" fillId="0" borderId="13" xfId="3" applyNumberFormat="1" applyFont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0" fontId="5" fillId="0" borderId="27" xfId="3" applyFont="1" applyBorder="1"/>
    <xf numFmtId="0" fontId="5" fillId="0" borderId="56" xfId="3" applyFont="1" applyBorder="1" applyAlignment="1">
      <alignment horizontal="center"/>
    </xf>
    <xf numFmtId="165" fontId="5" fillId="0" borderId="56" xfId="1" applyNumberFormat="1" applyFont="1" applyFill="1" applyBorder="1" applyAlignment="1">
      <alignment horizontal="center"/>
    </xf>
    <xf numFmtId="165" fontId="5" fillId="0" borderId="56" xfId="1" applyNumberFormat="1" applyFont="1" applyBorder="1" applyAlignment="1">
      <alignment horizontal="center"/>
    </xf>
    <xf numFmtId="164" fontId="5" fillId="0" borderId="56" xfId="3" applyNumberFormat="1" applyFont="1" applyBorder="1" applyAlignment="1">
      <alignment horizontal="center"/>
    </xf>
    <xf numFmtId="9" fontId="5" fillId="0" borderId="56" xfId="3" applyNumberFormat="1" applyFont="1" applyBorder="1" applyAlignment="1">
      <alignment horizontal="center"/>
    </xf>
    <xf numFmtId="164" fontId="5" fillId="0" borderId="56" xfId="3" applyNumberFormat="1" applyFont="1" applyFill="1" applyBorder="1" applyAlignment="1">
      <alignment horizontal="center"/>
    </xf>
    <xf numFmtId="164" fontId="5" fillId="0" borderId="28" xfId="3" applyNumberFormat="1" applyFont="1" applyBorder="1" applyAlignment="1">
      <alignment horizontal="center"/>
    </xf>
    <xf numFmtId="0" fontId="5" fillId="0" borderId="57" xfId="3" applyFont="1" applyBorder="1" applyAlignment="1">
      <alignment horizontal="center"/>
    </xf>
    <xf numFmtId="165" fontId="5" fillId="0" borderId="57" xfId="1" applyNumberFormat="1" applyFont="1" applyFill="1" applyBorder="1" applyAlignment="1">
      <alignment horizontal="center"/>
    </xf>
    <xf numFmtId="165" fontId="5" fillId="0" borderId="57" xfId="1" applyNumberFormat="1" applyFont="1" applyBorder="1" applyAlignment="1">
      <alignment horizontal="center"/>
    </xf>
    <xf numFmtId="164" fontId="5" fillId="0" borderId="57" xfId="3" applyNumberFormat="1" applyFont="1" applyBorder="1" applyAlignment="1">
      <alignment horizontal="center"/>
    </xf>
    <xf numFmtId="9" fontId="5" fillId="0" borderId="57" xfId="3" applyNumberFormat="1" applyFont="1" applyBorder="1" applyAlignment="1">
      <alignment horizontal="center"/>
    </xf>
    <xf numFmtId="164" fontId="5" fillId="0" borderId="57" xfId="3" applyNumberFormat="1" applyFont="1" applyFill="1" applyBorder="1" applyAlignment="1">
      <alignment horizontal="center"/>
    </xf>
    <xf numFmtId="164" fontId="5" fillId="0" borderId="39" xfId="3" applyNumberFormat="1" applyFont="1" applyBorder="1" applyAlignment="1">
      <alignment horizontal="center"/>
    </xf>
    <xf numFmtId="1" fontId="9" fillId="2" borderId="0" xfId="3" applyNumberFormat="1" applyFont="1" applyFill="1" applyBorder="1" applyAlignment="1">
      <alignment horizontal="left"/>
    </xf>
    <xf numFmtId="0" fontId="4" fillId="6" borderId="1" xfId="3" applyFont="1" applyFill="1" applyBorder="1" applyAlignment="1">
      <alignment horizontal="center"/>
    </xf>
    <xf numFmtId="0" fontId="4" fillId="6" borderId="2" xfId="3" applyFont="1" applyFill="1" applyBorder="1" applyAlignment="1">
      <alignment horizontal="center"/>
    </xf>
    <xf numFmtId="0" fontId="4" fillId="6" borderId="4" xfId="3" applyFont="1" applyFill="1" applyBorder="1" applyAlignment="1">
      <alignment horizontal="center"/>
    </xf>
    <xf numFmtId="0" fontId="4" fillId="6" borderId="19" xfId="3" applyFont="1" applyFill="1" applyBorder="1" applyAlignment="1">
      <alignment horizontal="center"/>
    </xf>
    <xf numFmtId="0" fontId="4" fillId="6" borderId="20" xfId="3" applyFont="1" applyFill="1" applyBorder="1" applyAlignment="1">
      <alignment horizontal="center"/>
    </xf>
    <xf numFmtId="0" fontId="4" fillId="6" borderId="2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9" xfId="3" applyFont="1" applyBorder="1" applyAlignment="1">
      <alignment horizontal="right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164" fontId="5" fillId="0" borderId="29" xfId="3" applyNumberFormat="1" applyFont="1" applyBorder="1" applyAlignment="1">
      <alignment vertical="top"/>
    </xf>
    <xf numFmtId="164" fontId="5" fillId="0" borderId="2" xfId="3" applyNumberFormat="1" applyFont="1" applyBorder="1" applyAlignment="1">
      <alignment vertical="top"/>
    </xf>
    <xf numFmtId="164" fontId="5" fillId="0" borderId="4" xfId="3" applyNumberFormat="1" applyFont="1" applyBorder="1" applyAlignment="1">
      <alignment vertical="top"/>
    </xf>
    <xf numFmtId="164" fontId="5" fillId="0" borderId="18" xfId="3" applyNumberFormat="1" applyFont="1" applyBorder="1" applyAlignment="1">
      <alignment vertical="top"/>
    </xf>
    <xf numFmtId="164" fontId="5" fillId="0" borderId="0" xfId="3" applyNumberFormat="1" applyFont="1" applyBorder="1" applyAlignment="1">
      <alignment vertical="top"/>
    </xf>
    <xf numFmtId="164" fontId="5" fillId="0" borderId="7" xfId="3" applyNumberFormat="1" applyFont="1" applyBorder="1" applyAlignment="1">
      <alignment vertical="top"/>
    </xf>
    <xf numFmtId="164" fontId="5" fillId="0" borderId="35" xfId="3" applyNumberFormat="1" applyFont="1" applyBorder="1" applyAlignment="1">
      <alignment vertical="top"/>
    </xf>
    <xf numFmtId="164" fontId="5" fillId="0" borderId="20" xfId="3" applyNumberFormat="1" applyFont="1" applyBorder="1" applyAlignment="1">
      <alignment vertical="top"/>
    </xf>
    <xf numFmtId="164" fontId="5" fillId="0" borderId="21" xfId="3" applyNumberFormat="1" applyFont="1" applyBorder="1" applyAlignment="1">
      <alignment vertical="top"/>
    </xf>
    <xf numFmtId="0" fontId="4" fillId="3" borderId="5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4" fillId="3" borderId="36" xfId="3" applyFont="1" applyFill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0" borderId="47" xfId="3" applyFont="1" applyBorder="1" applyAlignment="1">
      <alignment horizontal="center"/>
    </xf>
    <xf numFmtId="164" fontId="4" fillId="0" borderId="41" xfId="3" applyNumberFormat="1" applyFont="1" applyBorder="1" applyAlignment="1">
      <alignment horizontal="center"/>
    </xf>
    <xf numFmtId="164" fontId="4" fillId="0" borderId="42" xfId="3" applyNumberFormat="1" applyFont="1" applyBorder="1" applyAlignment="1">
      <alignment horizontal="center"/>
    </xf>
    <xf numFmtId="164" fontId="4" fillId="0" borderId="43" xfId="3" applyNumberFormat="1" applyFont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47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23" xfId="3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tabSelected="1" zoomScaleNormal="100" workbookViewId="0">
      <selection activeCell="M11" sqref="M11"/>
    </sheetView>
  </sheetViews>
  <sheetFormatPr defaultColWidth="2.28515625" defaultRowHeight="12.75" x14ac:dyDescent="0.2"/>
  <cols>
    <col min="1" max="1" width="30.85546875" style="54" bestFit="1" customWidth="1"/>
    <col min="2" max="2" width="13.5703125" style="54" bestFit="1" customWidth="1"/>
    <col min="3" max="3" width="20.710937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3" style="58" customWidth="1"/>
    <col min="10" max="10" width="15.710937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25" width="15.85546875" style="54" customWidth="1"/>
    <col min="26" max="16384" width="2.28515625" style="54"/>
  </cols>
  <sheetData>
    <row r="2" spans="1:15" ht="13.5" thickBot="1" x14ac:dyDescent="0.25">
      <c r="A2" s="57" t="s">
        <v>105</v>
      </c>
      <c r="B2" s="227">
        <v>8826</v>
      </c>
      <c r="C2" s="57" t="s">
        <v>106</v>
      </c>
      <c r="D2" s="227">
        <v>8016</v>
      </c>
      <c r="E2" s="228" t="s">
        <v>113</v>
      </c>
      <c r="F2" s="227">
        <f>B2-D2</f>
        <v>810</v>
      </c>
      <c r="G2" s="228" t="s">
        <v>118</v>
      </c>
      <c r="H2" s="227">
        <f>F2*1.2</f>
        <v>972</v>
      </c>
      <c r="J2" s="228" t="s">
        <v>110</v>
      </c>
      <c r="K2" s="229">
        <v>27.75</v>
      </c>
      <c r="M2" s="228" t="s">
        <v>119</v>
      </c>
      <c r="N2" s="227">
        <v>17.5</v>
      </c>
    </row>
    <row r="3" spans="1:15" s="10" customFormat="1" ht="12" x14ac:dyDescent="0.2">
      <c r="A3" s="266" t="s">
        <v>120</v>
      </c>
      <c r="B3" s="267"/>
      <c r="C3" s="268"/>
      <c r="D3" s="60"/>
      <c r="E3" s="61"/>
      <c r="F3" s="62"/>
      <c r="G3" s="63"/>
      <c r="H3" s="64"/>
      <c r="I3" s="60"/>
      <c r="J3" s="61"/>
      <c r="K3" s="65"/>
      <c r="L3" s="62"/>
      <c r="M3" s="61"/>
      <c r="N3" s="66"/>
      <c r="O3" s="9"/>
    </row>
    <row r="4" spans="1:15" s="10" customFormat="1" ht="18" x14ac:dyDescent="0.25">
      <c r="A4" s="269"/>
      <c r="B4" s="270"/>
      <c r="C4" s="271"/>
      <c r="D4" s="256" t="s">
        <v>107</v>
      </c>
      <c r="E4" s="68"/>
      <c r="F4" s="69"/>
      <c r="G4" s="70"/>
      <c r="H4" s="70"/>
      <c r="I4" s="71"/>
      <c r="J4" s="72"/>
      <c r="K4" s="73"/>
      <c r="L4" s="70"/>
      <c r="M4" s="70"/>
      <c r="N4" s="74"/>
    </row>
    <row r="5" spans="1:15" s="10" customFormat="1" thickBot="1" x14ac:dyDescent="0.25">
      <c r="A5" s="272"/>
      <c r="B5" s="273"/>
      <c r="C5" s="274"/>
      <c r="D5" s="69"/>
      <c r="E5" s="72"/>
      <c r="F5" s="71"/>
      <c r="G5" s="70"/>
      <c r="H5" s="70"/>
      <c r="I5" s="75"/>
      <c r="J5" s="75"/>
      <c r="K5" s="73"/>
      <c r="L5" s="70"/>
      <c r="M5" s="70"/>
      <c r="N5" s="74"/>
    </row>
    <row r="6" spans="1:15" s="10" customFormat="1" thickBot="1" x14ac:dyDescent="0.25">
      <c r="A6" s="76" t="s">
        <v>20</v>
      </c>
      <c r="B6" s="77" t="s">
        <v>21</v>
      </c>
      <c r="C6" s="77" t="s">
        <v>22</v>
      </c>
      <c r="D6" s="78" t="s">
        <v>6</v>
      </c>
      <c r="E6" s="78" t="s">
        <v>88</v>
      </c>
      <c r="F6" s="79" t="s">
        <v>24</v>
      </c>
      <c r="G6" s="79" t="s">
        <v>25</v>
      </c>
      <c r="H6" s="79" t="s">
        <v>26</v>
      </c>
      <c r="I6" s="79" t="s">
        <v>27</v>
      </c>
      <c r="J6" s="79" t="s">
        <v>28</v>
      </c>
      <c r="K6" s="80" t="s">
        <v>29</v>
      </c>
      <c r="L6" s="79" t="s">
        <v>30</v>
      </c>
      <c r="M6" s="79" t="s">
        <v>12</v>
      </c>
      <c r="N6" s="81" t="s">
        <v>31</v>
      </c>
      <c r="O6" s="82"/>
    </row>
    <row r="7" spans="1:15" s="10" customFormat="1" ht="12" x14ac:dyDescent="0.2">
      <c r="A7" s="241" t="s">
        <v>104</v>
      </c>
      <c r="B7" s="242" t="s">
        <v>47</v>
      </c>
      <c r="C7" s="242">
        <v>1533</v>
      </c>
      <c r="D7" s="243">
        <v>400</v>
      </c>
      <c r="E7" s="244">
        <f>D7</f>
        <v>400</v>
      </c>
      <c r="F7" s="245">
        <v>35</v>
      </c>
      <c r="G7" s="245">
        <f t="shared" ref="G7" si="0">E7*F7</f>
        <v>14000</v>
      </c>
      <c r="H7" s="245">
        <f>$E$13</f>
        <v>27</v>
      </c>
      <c r="I7" s="245">
        <v>0</v>
      </c>
      <c r="J7" s="245">
        <f>C21</f>
        <v>12.654796243683446</v>
      </c>
      <c r="K7" s="246">
        <v>0.08</v>
      </c>
      <c r="L7" s="247">
        <f>(K2*K7)+(0.25*(1-K7))</f>
        <v>2.4500000000000002</v>
      </c>
      <c r="M7" s="247">
        <f t="shared" ref="M7" si="1">E7*(F7-H7-I7-J7-L7)</f>
        <v>-2841.9184974733785</v>
      </c>
      <c r="N7" s="248">
        <f>M7/E7</f>
        <v>-7.1047962436834462</v>
      </c>
    </row>
    <row r="8" spans="1:15" s="10" customFormat="1" ht="12" x14ac:dyDescent="0.2">
      <c r="A8" s="94" t="s">
        <v>114</v>
      </c>
      <c r="B8" s="236" t="s">
        <v>47</v>
      </c>
      <c r="C8" s="236">
        <v>1533</v>
      </c>
      <c r="D8" s="237">
        <v>486</v>
      </c>
      <c r="E8" s="238">
        <f>D8</f>
        <v>486</v>
      </c>
      <c r="F8" s="131">
        <v>35</v>
      </c>
      <c r="G8" s="131">
        <f>E8*F8</f>
        <v>17010</v>
      </c>
      <c r="H8" s="131">
        <f>$E$13</f>
        <v>27</v>
      </c>
      <c r="I8" s="131">
        <v>0</v>
      </c>
      <c r="J8" s="131">
        <f>C22</f>
        <v>8.6785801932043825</v>
      </c>
      <c r="K8" s="239">
        <v>0.12</v>
      </c>
      <c r="L8" s="240">
        <f>($K$2*K8)+(0.25*(1-K8))</f>
        <v>3.5500000000000003</v>
      </c>
      <c r="M8" s="240">
        <f>E8*(F8-H8-I8-J8-L8)</f>
        <v>-2055.0899738973303</v>
      </c>
      <c r="N8" s="133">
        <f>M8/E8</f>
        <v>-4.2285801932043832</v>
      </c>
      <c r="O8" s="82"/>
    </row>
    <row r="9" spans="1:15" s="10" customFormat="1" thickBot="1" x14ac:dyDescent="0.25">
      <c r="A9" s="113" t="s">
        <v>115</v>
      </c>
      <c r="B9" s="249" t="s">
        <v>47</v>
      </c>
      <c r="C9" s="249">
        <v>1533</v>
      </c>
      <c r="D9" s="250">
        <v>86</v>
      </c>
      <c r="E9" s="251">
        <f>D9</f>
        <v>86</v>
      </c>
      <c r="F9" s="252">
        <v>35</v>
      </c>
      <c r="G9" s="252">
        <f>E9*F9</f>
        <v>3010</v>
      </c>
      <c r="H9" s="252">
        <f>$E$13</f>
        <v>27</v>
      </c>
      <c r="I9" s="252">
        <v>0</v>
      </c>
      <c r="J9" s="252">
        <f>C23</f>
        <v>9.1717162190837715</v>
      </c>
      <c r="K9" s="253">
        <v>0.1</v>
      </c>
      <c r="L9" s="254">
        <f>(K2*K9)+(0.25*(1-K9))</f>
        <v>3.0000000000000004</v>
      </c>
      <c r="M9" s="254">
        <f>E9*(F9-H9-I9-J9-L9)</f>
        <v>-358.76759484120436</v>
      </c>
      <c r="N9" s="255">
        <f>M9/E9</f>
        <v>-4.1717162190837715</v>
      </c>
    </row>
    <row r="10" spans="1:15" s="10" customFormat="1" thickBot="1" x14ac:dyDescent="0.25">
      <c r="A10" s="233" t="s">
        <v>51</v>
      </c>
      <c r="B10" s="116"/>
      <c r="C10" s="117"/>
      <c r="D10" s="118">
        <f>SUM(D7:D9)</f>
        <v>972</v>
      </c>
      <c r="E10" s="118">
        <f>SUM(E7:E9)</f>
        <v>972</v>
      </c>
      <c r="F10" s="119"/>
      <c r="G10" s="119">
        <f>SUM(G7:G9)</f>
        <v>34020</v>
      </c>
      <c r="H10" s="119">
        <f>SUMPRODUCT(E7:E9,H7:H9)/E10</f>
        <v>27</v>
      </c>
      <c r="I10" s="119"/>
      <c r="J10" s="119">
        <f>SUMPRODUCT(E7:E9,J7:J9)/E10</f>
        <v>10.358514471411432</v>
      </c>
      <c r="K10" s="119"/>
      <c r="L10" s="119">
        <f>SUMPRODUCT(E7:E9,L7:L9)/E10</f>
        <v>3.0486625514403296</v>
      </c>
      <c r="M10" s="234">
        <f>SUM(M7:M9)</f>
        <v>-5255.7760662119135</v>
      </c>
      <c r="N10" s="235">
        <f>M10/E10</f>
        <v>-5.407177022851763</v>
      </c>
      <c r="O10" s="9"/>
    </row>
    <row r="11" spans="1:15" s="10" customFormat="1" thickBot="1" x14ac:dyDescent="0.25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</row>
    <row r="12" spans="1:15" s="10" customFormat="1" ht="12" x14ac:dyDescent="0.2">
      <c r="A12" s="275" t="s">
        <v>52</v>
      </c>
      <c r="B12" s="276"/>
      <c r="C12" s="125">
        <v>27</v>
      </c>
      <c r="D12" s="125"/>
      <c r="E12" s="126" t="s">
        <v>53</v>
      </c>
      <c r="F12" s="277"/>
      <c r="G12" s="278"/>
      <c r="H12" s="279"/>
      <c r="I12" s="43"/>
      <c r="J12" s="43" t="s">
        <v>111</v>
      </c>
      <c r="K12" s="178">
        <f>(E7*K7)+(E8*K8)+(E9*K9)</f>
        <v>98.919999999999987</v>
      </c>
      <c r="L12" s="43"/>
      <c r="M12" s="127"/>
    </row>
    <row r="13" spans="1:15" s="10" customFormat="1" ht="12" x14ac:dyDescent="0.2">
      <c r="A13" s="286" t="s">
        <v>56</v>
      </c>
      <c r="B13" s="287"/>
      <c r="C13" s="100">
        <f>C12*C15</f>
        <v>27</v>
      </c>
      <c r="D13" s="100">
        <f>D12*D15</f>
        <v>0</v>
      </c>
      <c r="E13" s="129">
        <f>SUM(C13:D13)</f>
        <v>27</v>
      </c>
      <c r="F13" s="280"/>
      <c r="G13" s="281"/>
      <c r="H13" s="282"/>
      <c r="I13" s="43"/>
      <c r="J13" s="43" t="s">
        <v>112</v>
      </c>
      <c r="K13" s="232">
        <f>E10-K12</f>
        <v>873.08</v>
      </c>
      <c r="L13" s="43"/>
      <c r="M13" s="127"/>
    </row>
    <row r="14" spans="1:15" s="10" customFormat="1" ht="12" x14ac:dyDescent="0.2">
      <c r="A14" s="286" t="s">
        <v>61</v>
      </c>
      <c r="B14" s="287"/>
      <c r="C14" s="134" t="s">
        <v>62</v>
      </c>
      <c r="D14" s="134" t="s">
        <v>63</v>
      </c>
      <c r="E14" s="135"/>
      <c r="F14" s="280"/>
      <c r="G14" s="281"/>
      <c r="H14" s="282"/>
      <c r="I14" s="43"/>
      <c r="J14" s="43"/>
      <c r="K14" s="178">
        <f>SUM(K12:K13)</f>
        <v>972</v>
      </c>
      <c r="L14" s="43"/>
      <c r="M14" s="127"/>
    </row>
    <row r="15" spans="1:15" s="10" customFormat="1" thickBot="1" x14ac:dyDescent="0.25">
      <c r="A15" s="288" t="s">
        <v>64</v>
      </c>
      <c r="B15" s="289"/>
      <c r="C15" s="140">
        <v>1</v>
      </c>
      <c r="D15" s="140">
        <v>1</v>
      </c>
      <c r="E15" s="48"/>
      <c r="F15" s="283"/>
      <c r="G15" s="284"/>
      <c r="H15" s="285"/>
      <c r="I15" s="43"/>
      <c r="J15" s="43"/>
      <c r="K15" s="43"/>
      <c r="L15" s="43"/>
      <c r="M15" s="127"/>
    </row>
    <row r="16" spans="1:15" s="10" customFormat="1" ht="12" x14ac:dyDescent="0.2">
      <c r="A16" s="257"/>
      <c r="B16" s="258"/>
      <c r="C16" s="258"/>
      <c r="D16" s="258"/>
      <c r="E16" s="258"/>
      <c r="F16" s="258"/>
      <c r="G16" s="258"/>
      <c r="H16" s="259"/>
      <c r="I16" s="43"/>
      <c r="J16" s="43"/>
      <c r="K16" s="43"/>
      <c r="L16" s="43"/>
      <c r="M16" s="127"/>
    </row>
    <row r="17" spans="1:14" s="10" customFormat="1" thickBot="1" x14ac:dyDescent="0.25">
      <c r="A17" s="260"/>
      <c r="B17" s="261"/>
      <c r="C17" s="261"/>
      <c r="D17" s="261"/>
      <c r="E17" s="261"/>
      <c r="F17" s="261"/>
      <c r="G17" s="261"/>
      <c r="H17" s="262"/>
      <c r="I17" s="43"/>
      <c r="J17" s="43"/>
      <c r="K17" s="43"/>
      <c r="L17" s="43"/>
      <c r="M17" s="127"/>
    </row>
    <row r="18" spans="1:14" s="10" customFormat="1" thickBot="1" x14ac:dyDescent="0.25">
      <c r="A18" s="263"/>
      <c r="B18" s="264"/>
      <c r="C18" s="265" t="s">
        <v>78</v>
      </c>
      <c r="D18" s="265"/>
      <c r="E18" s="166">
        <v>3.89</v>
      </c>
      <c r="F18" s="167"/>
      <c r="G18" s="43"/>
      <c r="H18" s="43"/>
      <c r="I18" s="43"/>
      <c r="J18" s="43"/>
      <c r="K18" s="43"/>
      <c r="L18" s="43"/>
      <c r="M18" s="168"/>
      <c r="N18" s="168"/>
    </row>
    <row r="19" spans="1:14" s="10" customFormat="1" thickBot="1" x14ac:dyDescent="0.25">
      <c r="A19" s="169"/>
      <c r="B19" s="170" t="s">
        <v>79</v>
      </c>
      <c r="C19" s="171">
        <v>3</v>
      </c>
      <c r="D19" s="171">
        <v>0</v>
      </c>
      <c r="E19" s="171">
        <v>0</v>
      </c>
      <c r="F19" s="172">
        <v>0</v>
      </c>
      <c r="G19" s="43"/>
      <c r="H19" s="43"/>
      <c r="I19" s="43"/>
      <c r="J19" s="43"/>
      <c r="K19" s="43"/>
      <c r="L19" s="43"/>
      <c r="M19" s="168"/>
      <c r="N19" s="168"/>
    </row>
    <row r="20" spans="1:14" s="10" customFormat="1" ht="12" x14ac:dyDescent="0.2">
      <c r="A20" s="173"/>
      <c r="B20" s="174" t="s">
        <v>80</v>
      </c>
      <c r="C20" s="174" t="s">
        <v>48</v>
      </c>
      <c r="D20" s="11"/>
      <c r="E20" s="11"/>
      <c r="F20" s="175"/>
      <c r="G20" s="43"/>
      <c r="H20" s="43"/>
      <c r="I20" s="43"/>
      <c r="J20" s="43"/>
      <c r="K20" s="43"/>
      <c r="L20" s="43"/>
      <c r="M20" s="168"/>
      <c r="N20" s="168"/>
    </row>
    <row r="21" spans="1:14" s="10" customFormat="1" ht="12" x14ac:dyDescent="0.2">
      <c r="A21" s="176" t="s">
        <v>108</v>
      </c>
      <c r="B21" s="177">
        <v>0.92218</v>
      </c>
      <c r="C21" s="178">
        <f>($C$19*$E$18)/B21</f>
        <v>12.654796243683446</v>
      </c>
      <c r="D21" s="178">
        <f>($D$19*$E$18)/B21</f>
        <v>0</v>
      </c>
      <c r="E21" s="178">
        <f>($E$19*$E$18)/B21</f>
        <v>0</v>
      </c>
      <c r="F21" s="179"/>
      <c r="G21" s="43"/>
      <c r="H21" s="43"/>
      <c r="I21" s="43"/>
      <c r="J21" s="43"/>
      <c r="K21" s="43"/>
      <c r="L21" s="43"/>
      <c r="M21" s="168"/>
      <c r="N21" s="168"/>
    </row>
    <row r="22" spans="1:14" s="180" customFormat="1" ht="12" x14ac:dyDescent="0.2">
      <c r="A22" s="176" t="s">
        <v>116</v>
      </c>
      <c r="B22" s="177">
        <v>1.3446899999999999</v>
      </c>
      <c r="C22" s="178">
        <f t="shared" ref="C22:C27" si="2">($C$19*$E$18)/B22</f>
        <v>8.6785801932043825</v>
      </c>
      <c r="D22" s="178">
        <f t="shared" ref="D22:D26" si="3">($D$19*$E$18)/B22</f>
        <v>0</v>
      </c>
      <c r="E22" s="178">
        <f t="shared" ref="E22:E27" si="4">($E$19*$E$18)/B22</f>
        <v>0</v>
      </c>
      <c r="F22" s="179"/>
      <c r="G22" s="43"/>
      <c r="H22" s="43"/>
      <c r="I22" s="43"/>
      <c r="J22" s="43"/>
      <c r="K22" s="43"/>
      <c r="L22" s="43"/>
      <c r="M22" s="168"/>
      <c r="N22" s="168"/>
    </row>
    <row r="23" spans="1:14" s="10" customFormat="1" ht="12" x14ac:dyDescent="0.2">
      <c r="A23" s="176" t="s">
        <v>117</v>
      </c>
      <c r="B23" s="177">
        <v>1.2723899999999999</v>
      </c>
      <c r="C23" s="178">
        <f t="shared" si="2"/>
        <v>9.1717162190837715</v>
      </c>
      <c r="D23" s="178">
        <f t="shared" si="3"/>
        <v>0</v>
      </c>
      <c r="E23" s="178">
        <f t="shared" si="4"/>
        <v>0</v>
      </c>
      <c r="F23" s="179"/>
      <c r="G23" s="43"/>
      <c r="H23" s="43"/>
      <c r="I23" s="43"/>
      <c r="J23" s="43"/>
      <c r="K23" s="43"/>
      <c r="L23" s="43"/>
      <c r="M23" s="168"/>
      <c r="N23" s="168"/>
    </row>
    <row r="24" spans="1:14" s="10" customFormat="1" ht="12" x14ac:dyDescent="0.2">
      <c r="A24" s="176" t="s">
        <v>109</v>
      </c>
      <c r="B24" s="177">
        <v>0</v>
      </c>
      <c r="C24" s="178" t="e">
        <f t="shared" si="2"/>
        <v>#DIV/0!</v>
      </c>
      <c r="D24" s="178" t="e">
        <f t="shared" si="3"/>
        <v>#DIV/0!</v>
      </c>
      <c r="E24" s="178" t="e">
        <f t="shared" si="4"/>
        <v>#DIV/0!</v>
      </c>
      <c r="F24" s="179"/>
      <c r="G24" s="43"/>
      <c r="H24" s="43"/>
      <c r="I24" s="43"/>
      <c r="J24" s="43"/>
      <c r="K24" s="43"/>
      <c r="L24" s="43"/>
      <c r="M24" s="168"/>
      <c r="N24" s="168"/>
    </row>
    <row r="25" spans="1:14" s="10" customFormat="1" ht="12" x14ac:dyDescent="0.2">
      <c r="A25" s="176" t="s">
        <v>109</v>
      </c>
      <c r="B25" s="177">
        <v>0</v>
      </c>
      <c r="C25" s="178" t="e">
        <f t="shared" si="2"/>
        <v>#DIV/0!</v>
      </c>
      <c r="D25" s="178" t="e">
        <f t="shared" si="3"/>
        <v>#DIV/0!</v>
      </c>
      <c r="E25" s="178" t="e">
        <f t="shared" si="4"/>
        <v>#DIV/0!</v>
      </c>
      <c r="F25" s="179" t="e">
        <f>F19*E18/B25</f>
        <v>#DIV/0!</v>
      </c>
      <c r="G25" s="43"/>
      <c r="H25" s="43"/>
      <c r="I25" s="43"/>
      <c r="J25" s="43"/>
      <c r="K25" s="43"/>
      <c r="L25" s="43"/>
      <c r="M25" s="168"/>
      <c r="N25" s="168"/>
    </row>
    <row r="26" spans="1:14" s="10" customFormat="1" ht="12" x14ac:dyDescent="0.2">
      <c r="A26" s="176" t="s">
        <v>109</v>
      </c>
      <c r="B26" s="177">
        <v>0</v>
      </c>
      <c r="C26" s="178" t="e">
        <f t="shared" si="2"/>
        <v>#DIV/0!</v>
      </c>
      <c r="D26" s="178" t="e">
        <f t="shared" si="3"/>
        <v>#DIV/0!</v>
      </c>
      <c r="E26" s="178" t="e">
        <f t="shared" si="4"/>
        <v>#DIV/0!</v>
      </c>
      <c r="F26" s="179"/>
      <c r="G26" s="43"/>
      <c r="H26" s="43"/>
      <c r="I26" s="43"/>
      <c r="J26" s="43"/>
      <c r="K26" s="43"/>
      <c r="L26" s="43"/>
      <c r="M26" s="168"/>
      <c r="N26" s="168"/>
    </row>
    <row r="27" spans="1:14" s="10" customFormat="1" thickBot="1" x14ac:dyDescent="0.25">
      <c r="A27" s="181" t="s">
        <v>109</v>
      </c>
      <c r="B27" s="182">
        <v>0</v>
      </c>
      <c r="C27" s="183" t="e">
        <f t="shared" si="2"/>
        <v>#DIV/0!</v>
      </c>
      <c r="D27" s="183" t="e">
        <f>($D$19*$E$18)/B27</f>
        <v>#DIV/0!</v>
      </c>
      <c r="E27" s="183" t="e">
        <f t="shared" si="4"/>
        <v>#DIV/0!</v>
      </c>
      <c r="F27" s="184"/>
      <c r="G27" s="43"/>
      <c r="H27" s="43"/>
      <c r="I27" s="43"/>
      <c r="J27" s="43"/>
      <c r="K27" s="43"/>
      <c r="L27" s="43"/>
      <c r="M27" s="168"/>
      <c r="N27" s="168"/>
    </row>
    <row r="28" spans="1:14" s="10" customFormat="1" ht="12" x14ac:dyDescent="0.2">
      <c r="A28" s="210"/>
      <c r="B28" s="21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68"/>
      <c r="N28" s="168"/>
    </row>
    <row r="29" spans="1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2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3:14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3:14" x14ac:dyDescent="0.2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3:14" x14ac:dyDescent="0.2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3:14" x14ac:dyDescent="0.2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4" x14ac:dyDescent="0.2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3:14" x14ac:dyDescent="0.2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3:14" x14ac:dyDescent="0.2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3:14" x14ac:dyDescent="0.2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3:14" x14ac:dyDescent="0.2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3:14" x14ac:dyDescent="0.2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3:14" x14ac:dyDescent="0.2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3:14" x14ac:dyDescent="0.2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3:14" x14ac:dyDescent="0.2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3:14" x14ac:dyDescent="0.2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3:14" x14ac:dyDescent="0.2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3:14" x14ac:dyDescent="0.2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3:14" x14ac:dyDescent="0.2"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3:14" x14ac:dyDescent="0.2"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</sheetData>
  <mergeCells count="9">
    <mergeCell ref="A16:H17"/>
    <mergeCell ref="A18:B18"/>
    <mergeCell ref="C18:D18"/>
    <mergeCell ref="A3:C5"/>
    <mergeCell ref="A12:B12"/>
    <mergeCell ref="F12:H15"/>
    <mergeCell ref="A13:B13"/>
    <mergeCell ref="A14:B14"/>
    <mergeCell ref="A15:B15"/>
  </mergeCells>
  <pageMargins left="0.7" right="0.7" top="0.75" bottom="0.7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"/>
  <sheetViews>
    <sheetView workbookViewId="0">
      <selection activeCell="S26" sqref="S26"/>
    </sheetView>
  </sheetViews>
  <sheetFormatPr defaultColWidth="2.28515625" defaultRowHeight="12.75" x14ac:dyDescent="0.2"/>
  <cols>
    <col min="1" max="1" width="14.42578125" style="54" bestFit="1" customWidth="1"/>
    <col min="2" max="2" width="13.5703125" style="54" bestFit="1" customWidth="1"/>
    <col min="3" max="3" width="15.570312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1.140625" style="58" bestFit="1" customWidth="1"/>
    <col min="10" max="10" width="12.570312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16" width="7.28515625" style="54" customWidth="1"/>
    <col min="17" max="17" width="1.42578125" style="54" customWidth="1"/>
    <col min="18" max="18" width="18" style="54" bestFit="1" customWidth="1"/>
    <col min="19" max="19" width="8.7109375" style="54" customWidth="1"/>
    <col min="20" max="20" width="2.28515625" style="54"/>
    <col min="21" max="21" width="13.42578125" style="54" bestFit="1" customWidth="1"/>
    <col min="22" max="22" width="12.7109375" style="54" bestFit="1" customWidth="1"/>
    <col min="23" max="23" width="12" style="54" bestFit="1" customWidth="1"/>
    <col min="24" max="34" width="15.85546875" style="54" customWidth="1"/>
    <col min="35" max="16384" width="2.28515625" style="54"/>
  </cols>
  <sheetData>
    <row r="1" spans="1:21" s="10" customFormat="1" ht="12" x14ac:dyDescent="0.2">
      <c r="A1" s="266" t="s">
        <v>96</v>
      </c>
      <c r="B1" s="267"/>
      <c r="C1" s="268"/>
      <c r="D1" s="1" t="s">
        <v>0</v>
      </c>
      <c r="E1" s="2">
        <v>47.49</v>
      </c>
      <c r="F1" s="194" t="s">
        <v>1</v>
      </c>
      <c r="G1" s="3">
        <v>10000</v>
      </c>
      <c r="H1" s="4"/>
      <c r="I1" s="5"/>
      <c r="J1" s="2"/>
      <c r="K1" s="6"/>
      <c r="L1" s="7"/>
      <c r="M1" s="2"/>
      <c r="N1" s="8"/>
      <c r="O1" s="9"/>
    </row>
    <row r="2" spans="1:21" s="10" customFormat="1" ht="12" x14ac:dyDescent="0.2">
      <c r="A2" s="269"/>
      <c r="B2" s="270"/>
      <c r="C2" s="271"/>
      <c r="D2" s="11" t="s">
        <v>2</v>
      </c>
      <c r="E2" s="12" t="s">
        <v>97</v>
      </c>
      <c r="F2" s="193" t="s">
        <v>3</v>
      </c>
      <c r="G2" s="13">
        <f>(E3-100000)*0.05</f>
        <v>62752.980338261965</v>
      </c>
      <c r="H2" s="193" t="s">
        <v>94</v>
      </c>
      <c r="I2" s="13">
        <v>11391.12</v>
      </c>
      <c r="J2" s="14"/>
      <c r="K2" s="15"/>
      <c r="L2" s="13"/>
      <c r="M2" s="13"/>
      <c r="N2" s="16"/>
    </row>
    <row r="3" spans="1:21" s="10" customFormat="1" ht="12" x14ac:dyDescent="0.2">
      <c r="A3" s="272"/>
      <c r="B3" s="273"/>
      <c r="C3" s="274"/>
      <c r="D3" s="17" t="s">
        <v>4</v>
      </c>
      <c r="E3" s="18">
        <f>A6*(E1+N6)</f>
        <v>1355059.6067652393</v>
      </c>
      <c r="F3" s="195" t="s">
        <v>5</v>
      </c>
      <c r="G3" s="19">
        <f>SUM(G1:G2)</f>
        <v>72752.980338261958</v>
      </c>
      <c r="H3" s="196" t="s">
        <v>95</v>
      </c>
      <c r="I3" s="19">
        <f>G3-I2</f>
        <v>61361.860338261955</v>
      </c>
      <c r="J3" s="20"/>
      <c r="K3" s="21"/>
      <c r="L3" s="19"/>
      <c r="M3" s="19"/>
      <c r="N3" s="22"/>
    </row>
    <row r="4" spans="1:21" s="10" customFormat="1" ht="12" x14ac:dyDescent="0.2">
      <c r="A4" s="23"/>
      <c r="B4" s="24"/>
      <c r="C4" s="25"/>
      <c r="D4" s="26"/>
      <c r="E4" s="26"/>
      <c r="F4" s="27"/>
      <c r="G4" s="27"/>
      <c r="H4" s="27"/>
      <c r="I4" s="27"/>
      <c r="J4" s="27"/>
      <c r="K4" s="28"/>
      <c r="L4" s="27"/>
      <c r="M4" s="27"/>
      <c r="N4" s="29"/>
    </row>
    <row r="5" spans="1:21" s="9" customFormat="1" ht="13.5" x14ac:dyDescent="0.2">
      <c r="A5" s="30" t="s">
        <v>89</v>
      </c>
      <c r="B5" s="31" t="s">
        <v>90</v>
      </c>
      <c r="C5" s="32"/>
      <c r="D5" s="33" t="s">
        <v>6</v>
      </c>
      <c r="E5" s="33" t="s">
        <v>7</v>
      </c>
      <c r="F5" s="34" t="s">
        <v>8</v>
      </c>
      <c r="G5" s="34" t="s">
        <v>9</v>
      </c>
      <c r="H5" s="34" t="s">
        <v>10</v>
      </c>
      <c r="I5" s="35" t="s">
        <v>11</v>
      </c>
      <c r="J5" s="34" t="s">
        <v>12</v>
      </c>
      <c r="K5" s="36" t="s">
        <v>13</v>
      </c>
      <c r="L5" s="34" t="s">
        <v>14</v>
      </c>
      <c r="M5" s="34" t="s">
        <v>15</v>
      </c>
      <c r="N5" s="37" t="s">
        <v>16</v>
      </c>
    </row>
    <row r="6" spans="1:21" s="10" customFormat="1" ht="12" x14ac:dyDescent="0.2">
      <c r="A6" s="188">
        <v>15514</v>
      </c>
      <c r="B6" s="189">
        <f>D6/A6</f>
        <v>0.87578960938507155</v>
      </c>
      <c r="C6" s="38" t="s">
        <v>17</v>
      </c>
      <c r="D6" s="39">
        <f>E27+E65+E103</f>
        <v>13587</v>
      </c>
      <c r="E6" s="40">
        <f>G27+G65+G103</f>
        <v>1637780.9</v>
      </c>
      <c r="F6" s="40">
        <f>H27+H65+H103</f>
        <v>305707.5</v>
      </c>
      <c r="G6" s="40">
        <f>J27+J65+J103</f>
        <v>171031.68741758238</v>
      </c>
      <c r="H6" s="40">
        <f>M37+M75+M113</f>
        <v>27838.2</v>
      </c>
      <c r="I6" s="40">
        <f>L27+L65+L103</f>
        <v>591703.01888000011</v>
      </c>
      <c r="J6" s="41">
        <f>E6-F6-G6-H6-I6</f>
        <v>541500.49370241747</v>
      </c>
      <c r="K6" s="42">
        <f>(F6+G6+H6+I6)/D6</f>
        <v>80.685979708367</v>
      </c>
      <c r="L6" s="43">
        <f>J6/D6</f>
        <v>39.85430880270976</v>
      </c>
      <c r="M6" s="43"/>
      <c r="N6" s="44">
        <f>L6-M6</f>
        <v>39.85430880270976</v>
      </c>
      <c r="P6" s="185"/>
      <c r="Q6" s="185"/>
      <c r="R6" s="185"/>
    </row>
    <row r="7" spans="1:21" s="10" customFormat="1" ht="14.25" thickBot="1" x14ac:dyDescent="0.25">
      <c r="A7" s="45"/>
      <c r="B7" s="46"/>
      <c r="C7" s="47" t="s">
        <v>18</v>
      </c>
      <c r="D7" s="48"/>
      <c r="E7" s="49">
        <f>E6/D6</f>
        <v>120.54028851107675</v>
      </c>
      <c r="F7" s="49">
        <f>F6/D6</f>
        <v>22.5</v>
      </c>
      <c r="G7" s="49">
        <f>G6/D6</f>
        <v>12.587891912679943</v>
      </c>
      <c r="H7" s="49">
        <f>H6/D6</f>
        <v>2.0488849635681166</v>
      </c>
      <c r="I7" s="49">
        <f>I6/D6</f>
        <v>43.549202832118944</v>
      </c>
      <c r="J7" s="49">
        <f>J6/D6</f>
        <v>39.85430880270976</v>
      </c>
      <c r="K7" s="50"/>
      <c r="L7" s="51"/>
      <c r="M7" s="51"/>
      <c r="N7" s="52"/>
      <c r="R7" s="53"/>
    </row>
    <row r="8" spans="1:21" x14ac:dyDescent="0.2">
      <c r="F8" s="58">
        <f>H8/(C35+C73+D73+C111+E73+E111)</f>
        <v>25.976455696202535</v>
      </c>
      <c r="G8" s="186" t="s">
        <v>86</v>
      </c>
      <c r="H8" s="58">
        <f>C37+C75+D75+C113+L37+L75+L113</f>
        <v>10260.700000000001</v>
      </c>
      <c r="I8" s="186" t="s">
        <v>92</v>
      </c>
      <c r="J8" s="58">
        <v>146898.32</v>
      </c>
      <c r="K8" s="191" t="s">
        <v>93</v>
      </c>
      <c r="L8" s="58">
        <f>J8-H8</f>
        <v>136637.62</v>
      </c>
    </row>
    <row r="9" spans="1:21" x14ac:dyDescent="0.2">
      <c r="E9" s="192"/>
      <c r="G9" s="186" t="s">
        <v>73</v>
      </c>
      <c r="H9" s="58">
        <f>H37</f>
        <v>6793.5</v>
      </c>
    </row>
    <row r="10" spans="1:21" ht="13.5" thickBot="1" x14ac:dyDescent="0.25">
      <c r="E10" s="57"/>
      <c r="G10" s="186" t="s">
        <v>87</v>
      </c>
      <c r="H10" s="187">
        <f>J37</f>
        <v>500</v>
      </c>
    </row>
    <row r="11" spans="1:21" s="10" customFormat="1" ht="12" x14ac:dyDescent="0.2">
      <c r="A11" s="266" t="s">
        <v>98</v>
      </c>
      <c r="B11" s="267"/>
      <c r="C11" s="268"/>
      <c r="D11" s="60"/>
      <c r="E11" s="61"/>
      <c r="F11" s="62"/>
      <c r="G11" s="63"/>
      <c r="H11" s="64"/>
      <c r="I11" s="60"/>
      <c r="J11" s="61"/>
      <c r="K11" s="65"/>
      <c r="L11" s="62"/>
      <c r="M11" s="61"/>
      <c r="N11" s="66"/>
      <c r="O11" s="9"/>
    </row>
    <row r="12" spans="1:21" s="10" customFormat="1" thickBot="1" x14ac:dyDescent="0.25">
      <c r="A12" s="269"/>
      <c r="B12" s="270"/>
      <c r="C12" s="271"/>
      <c r="D12" s="67"/>
      <c r="E12" s="68"/>
      <c r="F12" s="69"/>
      <c r="G12" s="70"/>
      <c r="H12" s="70"/>
      <c r="I12" s="71"/>
      <c r="J12" s="72"/>
      <c r="K12" s="73"/>
      <c r="L12" s="70"/>
      <c r="M12" s="70"/>
      <c r="N12" s="74"/>
    </row>
    <row r="13" spans="1:21" s="10" customFormat="1" ht="16.5" thickBot="1" x14ac:dyDescent="0.3">
      <c r="A13" s="272"/>
      <c r="B13" s="273"/>
      <c r="C13" s="274"/>
      <c r="D13" s="69"/>
      <c r="E13" s="72"/>
      <c r="F13" s="71"/>
      <c r="G13" s="70"/>
      <c r="H13" s="70"/>
      <c r="I13" s="75"/>
      <c r="J13" s="75"/>
      <c r="K13" s="73"/>
      <c r="L13" s="70"/>
      <c r="M13" s="70"/>
      <c r="N13" s="74"/>
      <c r="R13" s="297" t="s">
        <v>19</v>
      </c>
      <c r="S13" s="298"/>
    </row>
    <row r="14" spans="1:21" s="10" customFormat="1" ht="14.25" thickBot="1" x14ac:dyDescent="0.25">
      <c r="A14" s="76" t="s">
        <v>20</v>
      </c>
      <c r="B14" s="77" t="s">
        <v>21</v>
      </c>
      <c r="C14" s="77" t="s">
        <v>22</v>
      </c>
      <c r="D14" s="78" t="s">
        <v>23</v>
      </c>
      <c r="E14" s="78" t="s">
        <v>88</v>
      </c>
      <c r="F14" s="79" t="s">
        <v>24</v>
      </c>
      <c r="G14" s="79" t="s">
        <v>25</v>
      </c>
      <c r="H14" s="79" t="s">
        <v>26</v>
      </c>
      <c r="I14" s="79" t="s">
        <v>27</v>
      </c>
      <c r="J14" s="79" t="s">
        <v>28</v>
      </c>
      <c r="K14" s="80" t="s">
        <v>29</v>
      </c>
      <c r="L14" s="79" t="s">
        <v>30</v>
      </c>
      <c r="M14" s="79" t="s">
        <v>12</v>
      </c>
      <c r="N14" s="81" t="s">
        <v>31</v>
      </c>
      <c r="O14" s="82"/>
      <c r="P14" s="9" t="s">
        <v>91</v>
      </c>
      <c r="Q14" s="9"/>
      <c r="R14" s="83" t="s">
        <v>20</v>
      </c>
      <c r="S14" s="84" t="s">
        <v>32</v>
      </c>
    </row>
    <row r="15" spans="1:21" s="10" customFormat="1" thickBot="1" x14ac:dyDescent="0.25">
      <c r="A15" s="85" t="s">
        <v>33</v>
      </c>
      <c r="B15" s="86" t="s">
        <v>34</v>
      </c>
      <c r="C15" s="86" t="s">
        <v>35</v>
      </c>
      <c r="D15" s="87">
        <v>5712</v>
      </c>
      <c r="E15" s="88">
        <f>D15*0.9</f>
        <v>5140.8</v>
      </c>
      <c r="F15" s="89">
        <f>FM</f>
        <v>110</v>
      </c>
      <c r="G15" s="89">
        <f>E15*F15</f>
        <v>565488</v>
      </c>
      <c r="H15" s="89">
        <f t="shared" ref="H15:H26" si="0">$E$30</f>
        <v>22.5</v>
      </c>
      <c r="I15" s="89">
        <f t="shared" ref="I15:I26" si="1">$N$37</f>
        <v>2.0488849635681166</v>
      </c>
      <c r="J15" s="89">
        <f>C43</f>
        <v>12.374999999999998</v>
      </c>
      <c r="K15" s="90">
        <v>0.98</v>
      </c>
      <c r="L15" s="91">
        <f t="shared" ref="L15:L26" si="2">($E$1*K15)+(0.25*(1-K15))</f>
        <v>46.545200000000001</v>
      </c>
      <c r="M15" s="92">
        <f>E15*(F15-H15-I15-J15-L15)</f>
        <v>136390.12801928906</v>
      </c>
      <c r="N15" s="93">
        <f>M15/E15</f>
        <v>26.530915036431889</v>
      </c>
      <c r="P15" s="104">
        <f>E15+E53+E91</f>
        <v>5140.8</v>
      </c>
      <c r="Q15" s="104"/>
      <c r="R15" s="94" t="s">
        <v>33</v>
      </c>
      <c r="S15" s="95">
        <v>110</v>
      </c>
    </row>
    <row r="16" spans="1:21" s="10" customFormat="1" thickBot="1" x14ac:dyDescent="0.25">
      <c r="A16" s="96" t="s">
        <v>102</v>
      </c>
      <c r="B16" s="97" t="s">
        <v>36</v>
      </c>
      <c r="C16" s="97" t="s">
        <v>37</v>
      </c>
      <c r="D16" s="98">
        <v>1000</v>
      </c>
      <c r="E16" s="99">
        <f>D16</f>
        <v>1000</v>
      </c>
      <c r="F16" s="100">
        <f>CEP</f>
        <v>190</v>
      </c>
      <c r="G16" s="100">
        <f t="shared" ref="G16:G26" si="3">E16*F16</f>
        <v>190000</v>
      </c>
      <c r="H16" s="100">
        <f>$E$30+10</f>
        <v>32.5</v>
      </c>
      <c r="I16" s="100">
        <f t="shared" si="1"/>
        <v>2.0488849635681166</v>
      </c>
      <c r="J16" s="100">
        <v>0</v>
      </c>
      <c r="K16" s="101">
        <v>1</v>
      </c>
      <c r="L16" s="102">
        <f t="shared" si="2"/>
        <v>47.49</v>
      </c>
      <c r="M16" s="92">
        <f t="shared" ref="M16:M26" si="4">E16*(F16-H16-I16-J16-L16)</f>
        <v>107961.11503643186</v>
      </c>
      <c r="N16" s="103">
        <f>M16/E16</f>
        <v>107.96111503643186</v>
      </c>
      <c r="P16" s="104">
        <f t="shared" ref="P16:P26" si="5">E16+E54+E92</f>
        <v>1000</v>
      </c>
      <c r="Q16" s="104"/>
      <c r="R16" s="94" t="s">
        <v>38</v>
      </c>
      <c r="S16" s="95">
        <v>190</v>
      </c>
      <c r="U16" s="104"/>
    </row>
    <row r="17" spans="1:23" s="10" customFormat="1" thickBot="1" x14ac:dyDescent="0.25">
      <c r="A17" s="96" t="s">
        <v>39</v>
      </c>
      <c r="B17" s="97" t="s">
        <v>34</v>
      </c>
      <c r="C17" s="97" t="s">
        <v>103</v>
      </c>
      <c r="D17" s="98">
        <v>4140</v>
      </c>
      <c r="E17" s="99">
        <f>D17*0.85</f>
        <v>3519</v>
      </c>
      <c r="F17" s="100">
        <f>CE</f>
        <v>160</v>
      </c>
      <c r="G17" s="100">
        <f>E17*F17</f>
        <v>563040</v>
      </c>
      <c r="H17" s="100">
        <f t="shared" si="0"/>
        <v>22.5</v>
      </c>
      <c r="I17" s="100">
        <f t="shared" si="1"/>
        <v>2.0488849635681166</v>
      </c>
      <c r="J17" s="100">
        <f>E47</f>
        <v>11.785714285714286</v>
      </c>
      <c r="K17" s="101">
        <v>0.76</v>
      </c>
      <c r="L17" s="102">
        <f t="shared" si="2"/>
        <v>36.152400000000007</v>
      </c>
      <c r="M17" s="92">
        <f t="shared" si="4"/>
        <v>307958.2496417751</v>
      </c>
      <c r="N17" s="103">
        <f t="shared" ref="N17:N26" si="6">M17/E17</f>
        <v>87.513000750717566</v>
      </c>
      <c r="P17" s="104">
        <f t="shared" si="5"/>
        <v>3519</v>
      </c>
      <c r="Q17" s="104"/>
      <c r="R17" s="94" t="s">
        <v>39</v>
      </c>
      <c r="S17" s="105">
        <v>160</v>
      </c>
    </row>
    <row r="18" spans="1:23" s="10" customFormat="1" thickBot="1" x14ac:dyDescent="0.25">
      <c r="A18" s="96" t="s">
        <v>41</v>
      </c>
      <c r="B18" s="97" t="s">
        <v>34</v>
      </c>
      <c r="C18" s="97" t="s">
        <v>99</v>
      </c>
      <c r="D18" s="98">
        <v>1377</v>
      </c>
      <c r="E18" s="99">
        <f>D18*0.8</f>
        <v>1101.6000000000001</v>
      </c>
      <c r="F18" s="100">
        <f>HE</f>
        <v>84</v>
      </c>
      <c r="G18" s="100">
        <f t="shared" si="3"/>
        <v>92534.400000000009</v>
      </c>
      <c r="H18" s="100">
        <f t="shared" si="0"/>
        <v>22.5</v>
      </c>
      <c r="I18" s="100">
        <f t="shared" si="1"/>
        <v>2.0488849635681166</v>
      </c>
      <c r="J18" s="100">
        <f>F45</f>
        <v>27.605769230769226</v>
      </c>
      <c r="K18" s="101">
        <v>0.88</v>
      </c>
      <c r="L18" s="102">
        <f t="shared" si="2"/>
        <v>41.821200000000005</v>
      </c>
      <c r="M18" s="92">
        <f t="shared" si="4"/>
        <v>-10989.40098048202</v>
      </c>
      <c r="N18" s="103">
        <f t="shared" si="6"/>
        <v>-9.9758541943373444</v>
      </c>
      <c r="P18" s="104">
        <f t="shared" si="5"/>
        <v>1101.6000000000001</v>
      </c>
      <c r="Q18" s="104"/>
      <c r="R18" s="94" t="s">
        <v>41</v>
      </c>
      <c r="S18" s="95">
        <v>84</v>
      </c>
    </row>
    <row r="19" spans="1:23" s="10" customFormat="1" thickBot="1" x14ac:dyDescent="0.25">
      <c r="A19" s="96" t="s">
        <v>42</v>
      </c>
      <c r="B19" s="97" t="s">
        <v>34</v>
      </c>
      <c r="C19" s="97" t="s">
        <v>35</v>
      </c>
      <c r="D19" s="98">
        <v>0</v>
      </c>
      <c r="E19" s="99">
        <f>D19*0.8</f>
        <v>0</v>
      </c>
      <c r="F19" s="100">
        <f>BA</f>
        <v>65</v>
      </c>
      <c r="G19" s="100">
        <f t="shared" si="3"/>
        <v>0</v>
      </c>
      <c r="H19" s="100">
        <f t="shared" si="0"/>
        <v>22.5</v>
      </c>
      <c r="I19" s="100">
        <f t="shared" si="1"/>
        <v>2.0488849635681166</v>
      </c>
      <c r="J19" s="100">
        <f>C41</f>
        <v>11.55</v>
      </c>
      <c r="K19" s="101">
        <v>0.99</v>
      </c>
      <c r="L19" s="102">
        <f t="shared" si="2"/>
        <v>47.017600000000002</v>
      </c>
      <c r="M19" s="92">
        <f t="shared" si="4"/>
        <v>0</v>
      </c>
      <c r="N19" s="103" t="e">
        <f t="shared" si="6"/>
        <v>#DIV/0!</v>
      </c>
      <c r="P19" s="104">
        <f t="shared" si="5"/>
        <v>0</v>
      </c>
      <c r="Q19" s="104"/>
      <c r="R19" s="94" t="s">
        <v>42</v>
      </c>
      <c r="S19" s="95">
        <v>65</v>
      </c>
    </row>
    <row r="20" spans="1:23" s="10" customFormat="1" thickBot="1" x14ac:dyDescent="0.25">
      <c r="A20" s="96" t="s">
        <v>43</v>
      </c>
      <c r="B20" s="97" t="s">
        <v>34</v>
      </c>
      <c r="C20" s="97" t="s">
        <v>35</v>
      </c>
      <c r="D20" s="98">
        <v>893</v>
      </c>
      <c r="E20" s="99">
        <f>D20*0.9</f>
        <v>803.7</v>
      </c>
      <c r="F20" s="100">
        <f>SP</f>
        <v>90</v>
      </c>
      <c r="G20" s="100">
        <f t="shared" si="3"/>
        <v>72333</v>
      </c>
      <c r="H20" s="100">
        <f t="shared" si="0"/>
        <v>22.5</v>
      </c>
      <c r="I20" s="100">
        <f t="shared" si="1"/>
        <v>2.0488849635681166</v>
      </c>
      <c r="J20" s="100">
        <f>C41</f>
        <v>11.55</v>
      </c>
      <c r="K20" s="101">
        <v>0.99</v>
      </c>
      <c r="L20" s="102">
        <f t="shared" si="2"/>
        <v>47.017600000000002</v>
      </c>
      <c r="M20" s="92">
        <f t="shared" si="4"/>
        <v>5532.2810347803088</v>
      </c>
      <c r="N20" s="103">
        <f t="shared" si="6"/>
        <v>6.8835150364318878</v>
      </c>
      <c r="P20" s="104">
        <f t="shared" si="5"/>
        <v>803.7</v>
      </c>
      <c r="Q20" s="104"/>
      <c r="R20" s="94" t="s">
        <v>43</v>
      </c>
      <c r="S20" s="95">
        <v>90</v>
      </c>
    </row>
    <row r="21" spans="1:23" s="10" customFormat="1" thickBot="1" x14ac:dyDescent="0.25">
      <c r="A21" s="96" t="s">
        <v>44</v>
      </c>
      <c r="B21" s="97" t="s">
        <v>34</v>
      </c>
      <c r="C21" s="97" t="s">
        <v>35</v>
      </c>
      <c r="D21" s="98">
        <v>224</v>
      </c>
      <c r="E21" s="99">
        <f>D21*0.85</f>
        <v>190.4</v>
      </c>
      <c r="F21" s="100">
        <f>WH</f>
        <v>80</v>
      </c>
      <c r="G21" s="100">
        <f t="shared" si="3"/>
        <v>15232</v>
      </c>
      <c r="H21" s="100">
        <f t="shared" si="0"/>
        <v>22.5</v>
      </c>
      <c r="I21" s="100">
        <f t="shared" si="1"/>
        <v>2.0488849635681166</v>
      </c>
      <c r="J21" s="100">
        <f>C41</f>
        <v>11.55</v>
      </c>
      <c r="K21" s="101">
        <v>0.99</v>
      </c>
      <c r="L21" s="102">
        <f t="shared" si="2"/>
        <v>47.017600000000002</v>
      </c>
      <c r="M21" s="92">
        <f t="shared" si="4"/>
        <v>-593.37873706336859</v>
      </c>
      <c r="N21" s="103">
        <f t="shared" si="6"/>
        <v>-3.1164849635681122</v>
      </c>
      <c r="P21" s="104">
        <f t="shared" si="5"/>
        <v>190.4</v>
      </c>
      <c r="Q21" s="104"/>
      <c r="R21" s="94" t="s">
        <v>44</v>
      </c>
      <c r="S21" s="95">
        <v>80</v>
      </c>
    </row>
    <row r="22" spans="1:23" s="10" customFormat="1" thickBot="1" x14ac:dyDescent="0.25">
      <c r="A22" s="96" t="s">
        <v>45</v>
      </c>
      <c r="B22" s="97" t="s">
        <v>34</v>
      </c>
      <c r="C22" s="97" t="s">
        <v>35</v>
      </c>
      <c r="D22" s="98">
        <v>811</v>
      </c>
      <c r="E22" s="99">
        <f>D22*0.9</f>
        <v>729.9</v>
      </c>
      <c r="F22" s="100">
        <f>LA</f>
        <v>85</v>
      </c>
      <c r="G22" s="100">
        <f t="shared" si="3"/>
        <v>62041.5</v>
      </c>
      <c r="H22" s="100">
        <f t="shared" si="0"/>
        <v>22.5</v>
      </c>
      <c r="I22" s="100">
        <f t="shared" si="1"/>
        <v>2.0488849635681166</v>
      </c>
      <c r="J22" s="100">
        <f>C44</f>
        <v>12.833333333333332</v>
      </c>
      <c r="K22" s="101">
        <v>0.97</v>
      </c>
      <c r="L22" s="102">
        <f t="shared" si="2"/>
        <v>46.072800000000001</v>
      </c>
      <c r="M22" s="92">
        <f t="shared" si="4"/>
        <v>1127.6821450916368</v>
      </c>
      <c r="N22" s="103">
        <f t="shared" si="6"/>
        <v>1.5449817030985571</v>
      </c>
      <c r="P22" s="104">
        <f t="shared" si="5"/>
        <v>729.9</v>
      </c>
      <c r="Q22" s="104"/>
      <c r="R22" s="94" t="s">
        <v>45</v>
      </c>
      <c r="S22" s="95">
        <v>85</v>
      </c>
    </row>
    <row r="23" spans="1:23" s="10" customFormat="1" thickBot="1" x14ac:dyDescent="0.25">
      <c r="A23" s="23" t="s">
        <v>46</v>
      </c>
      <c r="B23" s="97" t="s">
        <v>34</v>
      </c>
      <c r="C23" s="97" t="s">
        <v>35</v>
      </c>
      <c r="D23" s="98">
        <v>0</v>
      </c>
      <c r="E23" s="99">
        <f>D23*0.8</f>
        <v>0</v>
      </c>
      <c r="F23" s="100">
        <f>LO</f>
        <v>70</v>
      </c>
      <c r="G23" s="100">
        <f t="shared" si="3"/>
        <v>0</v>
      </c>
      <c r="H23" s="100">
        <f t="shared" si="0"/>
        <v>22.5</v>
      </c>
      <c r="I23" s="100">
        <f t="shared" si="1"/>
        <v>2.0488849635681166</v>
      </c>
      <c r="J23" s="100">
        <f>C41</f>
        <v>11.55</v>
      </c>
      <c r="K23" s="101">
        <v>0.95</v>
      </c>
      <c r="L23" s="102">
        <f t="shared" si="2"/>
        <v>45.128</v>
      </c>
      <c r="M23" s="92">
        <f t="shared" si="4"/>
        <v>0</v>
      </c>
      <c r="N23" s="103" t="e">
        <f t="shared" si="6"/>
        <v>#DIV/0!</v>
      </c>
      <c r="P23" s="104">
        <f t="shared" si="5"/>
        <v>0</v>
      </c>
      <c r="Q23" s="104"/>
      <c r="R23" s="94" t="s">
        <v>46</v>
      </c>
      <c r="S23" s="95">
        <v>70</v>
      </c>
    </row>
    <row r="24" spans="1:23" s="10" customFormat="1" thickBot="1" x14ac:dyDescent="0.25">
      <c r="A24" s="23" t="s">
        <v>100</v>
      </c>
      <c r="B24" s="97" t="s">
        <v>34</v>
      </c>
      <c r="C24" s="97" t="s">
        <v>35</v>
      </c>
      <c r="D24" s="98">
        <v>1377</v>
      </c>
      <c r="E24" s="99">
        <f>D24*0.8</f>
        <v>1101.6000000000001</v>
      </c>
      <c r="F24" s="100">
        <f>PR</f>
        <v>70</v>
      </c>
      <c r="G24" s="100">
        <f t="shared" si="3"/>
        <v>77112.000000000015</v>
      </c>
      <c r="H24" s="100">
        <f t="shared" si="0"/>
        <v>22.5</v>
      </c>
      <c r="I24" s="100">
        <f t="shared" si="1"/>
        <v>2.0488849635681166</v>
      </c>
      <c r="J24" s="100">
        <f>C45</f>
        <v>13.326923076923077</v>
      </c>
      <c r="K24" s="101">
        <v>0.98</v>
      </c>
      <c r="L24" s="102">
        <f t="shared" si="2"/>
        <v>46.545200000000001</v>
      </c>
      <c r="M24" s="92">
        <f t="shared" si="4"/>
        <v>-15886.182457405102</v>
      </c>
      <c r="N24" s="103">
        <f t="shared" si="6"/>
        <v>-14.421008040491195</v>
      </c>
      <c r="P24" s="104">
        <f t="shared" si="5"/>
        <v>1101.6000000000001</v>
      </c>
      <c r="R24" s="94" t="s">
        <v>101</v>
      </c>
      <c r="S24" s="95">
        <v>70</v>
      </c>
    </row>
    <row r="25" spans="1:23" s="10" customFormat="1" thickBot="1" x14ac:dyDescent="0.25">
      <c r="A25" s="23" t="s">
        <v>47</v>
      </c>
      <c r="B25" s="97" t="s">
        <v>47</v>
      </c>
      <c r="C25" s="97" t="s">
        <v>48</v>
      </c>
      <c r="D25" s="98">
        <v>0</v>
      </c>
      <c r="E25" s="99">
        <f>D25</f>
        <v>0</v>
      </c>
      <c r="F25" s="100">
        <f>Pulp</f>
        <v>33</v>
      </c>
      <c r="G25" s="100">
        <f t="shared" si="3"/>
        <v>0</v>
      </c>
      <c r="H25" s="100">
        <f t="shared" si="0"/>
        <v>22.5</v>
      </c>
      <c r="I25" s="100">
        <f t="shared" si="1"/>
        <v>2.0488849635681166</v>
      </c>
      <c r="J25" s="100">
        <f>D46</f>
        <v>10.3125</v>
      </c>
      <c r="K25" s="101">
        <v>0.98</v>
      </c>
      <c r="L25" s="102">
        <f t="shared" si="2"/>
        <v>46.545200000000001</v>
      </c>
      <c r="M25" s="92">
        <f t="shared" si="4"/>
        <v>0</v>
      </c>
      <c r="N25" s="103" t="e">
        <f t="shared" si="6"/>
        <v>#DIV/0!</v>
      </c>
      <c r="P25" s="104">
        <f t="shared" si="5"/>
        <v>0</v>
      </c>
      <c r="R25" s="94" t="s">
        <v>47</v>
      </c>
      <c r="S25" s="95">
        <v>33</v>
      </c>
    </row>
    <row r="26" spans="1:23" s="10" customFormat="1" thickBot="1" x14ac:dyDescent="0.25">
      <c r="A26" s="45" t="s">
        <v>49</v>
      </c>
      <c r="B26" s="106" t="s">
        <v>50</v>
      </c>
      <c r="C26" s="106" t="s">
        <v>48</v>
      </c>
      <c r="D26" s="107">
        <v>0</v>
      </c>
      <c r="E26" s="108">
        <f>D26</f>
        <v>0</v>
      </c>
      <c r="F26" s="109">
        <f>GRUP</f>
        <v>35</v>
      </c>
      <c r="G26" s="109">
        <f t="shared" si="3"/>
        <v>0</v>
      </c>
      <c r="H26" s="109">
        <f t="shared" si="0"/>
        <v>22.5</v>
      </c>
      <c r="I26" s="109">
        <f t="shared" si="1"/>
        <v>2.0488849635681166</v>
      </c>
      <c r="J26" s="109">
        <f>D45</f>
        <v>15.865384615384615</v>
      </c>
      <c r="K26" s="110">
        <v>0.7</v>
      </c>
      <c r="L26" s="111">
        <f t="shared" si="2"/>
        <v>33.318000000000005</v>
      </c>
      <c r="M26" s="92">
        <f t="shared" si="4"/>
        <v>0</v>
      </c>
      <c r="N26" s="112" t="e">
        <f t="shared" si="6"/>
        <v>#DIV/0!</v>
      </c>
      <c r="P26" s="104">
        <f t="shared" si="5"/>
        <v>0</v>
      </c>
      <c r="R26" s="113" t="s">
        <v>49</v>
      </c>
      <c r="S26" s="114">
        <v>35</v>
      </c>
    </row>
    <row r="27" spans="1:23" s="10" customFormat="1" thickBot="1" x14ac:dyDescent="0.25">
      <c r="A27" s="115" t="s">
        <v>51</v>
      </c>
      <c r="B27" s="116"/>
      <c r="C27" s="117"/>
      <c r="D27" s="118">
        <f>SUM(D15:D26)</f>
        <v>15534</v>
      </c>
      <c r="E27" s="118">
        <f>SUM(E15:E26)</f>
        <v>13587</v>
      </c>
      <c r="F27" s="119"/>
      <c r="G27" s="119">
        <f>SUM(G15:G26)</f>
        <v>1637780.9</v>
      </c>
      <c r="H27" s="119">
        <f>E27*E30</f>
        <v>305707.5</v>
      </c>
      <c r="I27" s="119"/>
      <c r="J27" s="119">
        <f>(E15*J15)+(E16*J16)+(E17*J17)+(E18*J18)+(E19*J19)+(E20*J20)+(E21*J21)+(E22*J22)+(E23*J23)+(E24*J24)+(E25*J25)+(E26*J26)</f>
        <v>171031.68741758238</v>
      </c>
      <c r="K27" s="119"/>
      <c r="L27" s="119">
        <f>(E15*L15)+(E16*L16)+(E17*L17)+(E18*L18)+(E19*L19)+(E20*L20)+(E21*L21)+(E22*L22)+(E23*L23)+(E24*L24)+(E25*L25)+(E26*L26)</f>
        <v>591703.01888000011</v>
      </c>
      <c r="M27" s="120">
        <f>SUM(M15:M26)</f>
        <v>531500.49370241736</v>
      </c>
      <c r="N27" s="121">
        <f>M27/E27</f>
        <v>39.118311157902212</v>
      </c>
      <c r="O27" s="9"/>
      <c r="P27" s="190">
        <f>SUM(P15:P26)</f>
        <v>13587</v>
      </c>
      <c r="Q27" s="104"/>
    </row>
    <row r="28" spans="1:23" s="10" customFormat="1" thickBot="1" x14ac:dyDescent="0.25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>
        <f>L27/E27</f>
        <v>43.549202832118944</v>
      </c>
      <c r="M28" s="123"/>
      <c r="N28" s="124"/>
      <c r="R28" s="197"/>
      <c r="S28" s="198"/>
      <c r="T28" s="198"/>
      <c r="U28" s="198"/>
      <c r="V28" s="198"/>
      <c r="W28" s="199"/>
    </row>
    <row r="29" spans="1:23" s="10" customFormat="1" ht="12" x14ac:dyDescent="0.2">
      <c r="A29" s="275" t="s">
        <v>52</v>
      </c>
      <c r="B29" s="276"/>
      <c r="C29" s="125">
        <v>22.5</v>
      </c>
      <c r="D29" s="125">
        <v>0</v>
      </c>
      <c r="E29" s="126" t="s">
        <v>53</v>
      </c>
      <c r="F29" s="277" t="s">
        <v>54</v>
      </c>
      <c r="G29" s="278"/>
      <c r="H29" s="279"/>
      <c r="I29" s="292" t="s">
        <v>55</v>
      </c>
      <c r="J29" s="293"/>
      <c r="K29" s="293"/>
      <c r="L29" s="294"/>
      <c r="M29" s="127"/>
      <c r="N29" s="128"/>
      <c r="R29" s="200"/>
      <c r="S29" s="201"/>
      <c r="T29" s="24"/>
      <c r="U29" s="27"/>
      <c r="V29" s="27"/>
      <c r="W29" s="202"/>
    </row>
    <row r="30" spans="1:23" s="10" customFormat="1" ht="12" x14ac:dyDescent="0.2">
      <c r="A30" s="286" t="s">
        <v>56</v>
      </c>
      <c r="B30" s="287"/>
      <c r="C30" s="100">
        <f>C29*C32</f>
        <v>22.5</v>
      </c>
      <c r="D30" s="100">
        <f>D29*D32</f>
        <v>0</v>
      </c>
      <c r="E30" s="129">
        <f>SUM(C30:D30)</f>
        <v>22.5</v>
      </c>
      <c r="F30" s="280"/>
      <c r="G30" s="281"/>
      <c r="H30" s="282"/>
      <c r="I30" s="130" t="s">
        <v>57</v>
      </c>
      <c r="J30" s="131" t="s">
        <v>58</v>
      </c>
      <c r="K30" s="132" t="s">
        <v>59</v>
      </c>
      <c r="L30" s="133" t="s">
        <v>60</v>
      </c>
      <c r="M30" s="127"/>
      <c r="N30" s="128"/>
      <c r="R30" s="203"/>
      <c r="S30" s="27"/>
      <c r="T30" s="24"/>
      <c r="U30" s="27"/>
      <c r="V30" s="27"/>
      <c r="W30" s="204"/>
    </row>
    <row r="31" spans="1:23" s="10" customFormat="1" ht="12" x14ac:dyDescent="0.2">
      <c r="A31" s="286" t="s">
        <v>61</v>
      </c>
      <c r="B31" s="287"/>
      <c r="C31" s="134" t="s">
        <v>62</v>
      </c>
      <c r="D31" s="134" t="s">
        <v>63</v>
      </c>
      <c r="E31" s="135"/>
      <c r="F31" s="280"/>
      <c r="G31" s="281"/>
      <c r="H31" s="282"/>
      <c r="I31" s="136">
        <v>390.15</v>
      </c>
      <c r="J31" s="137">
        <v>450</v>
      </c>
      <c r="K31" s="138">
        <v>4</v>
      </c>
      <c r="L31" s="139">
        <f>I31*K31</f>
        <v>1560.6</v>
      </c>
      <c r="M31" s="127"/>
      <c r="N31" s="128"/>
      <c r="R31" s="205"/>
      <c r="S31" s="206"/>
      <c r="T31" s="207"/>
      <c r="U31" s="207"/>
      <c r="V31" s="208"/>
      <c r="W31" s="209"/>
    </row>
    <row r="32" spans="1:23" s="10" customFormat="1" thickBot="1" x14ac:dyDescent="0.25">
      <c r="A32" s="288" t="s">
        <v>64</v>
      </c>
      <c r="B32" s="289"/>
      <c r="C32" s="140">
        <v>1</v>
      </c>
      <c r="D32" s="140">
        <v>0</v>
      </c>
      <c r="E32" s="48"/>
      <c r="F32" s="283"/>
      <c r="G32" s="284"/>
      <c r="H32" s="285"/>
      <c r="I32" s="141">
        <v>549.9</v>
      </c>
      <c r="J32" s="142">
        <v>600</v>
      </c>
      <c r="K32" s="143">
        <v>0</v>
      </c>
      <c r="L32" s="103">
        <f>I32*K32</f>
        <v>0</v>
      </c>
      <c r="M32" s="127"/>
      <c r="N32" s="128"/>
    </row>
    <row r="33" spans="1:14" s="10" customFormat="1" ht="12" x14ac:dyDescent="0.2">
      <c r="A33" s="257"/>
      <c r="B33" s="258"/>
      <c r="C33" s="258"/>
      <c r="D33" s="258"/>
      <c r="E33" s="258"/>
      <c r="F33" s="258"/>
      <c r="G33" s="258"/>
      <c r="H33" s="259"/>
      <c r="I33" s="141">
        <v>800.1</v>
      </c>
      <c r="J33" s="142">
        <v>800</v>
      </c>
      <c r="K33" s="143">
        <v>1</v>
      </c>
      <c r="L33" s="103">
        <f t="shared" ref="L33:L35" si="7">I33*K33</f>
        <v>800.1</v>
      </c>
      <c r="M33" s="127"/>
      <c r="N33" s="128"/>
    </row>
    <row r="34" spans="1:14" s="10" customFormat="1" thickBot="1" x14ac:dyDescent="0.25">
      <c r="A34" s="260"/>
      <c r="B34" s="261"/>
      <c r="C34" s="261"/>
      <c r="D34" s="261"/>
      <c r="E34" s="261"/>
      <c r="F34" s="261"/>
      <c r="G34" s="261"/>
      <c r="H34" s="262"/>
      <c r="I34" s="141">
        <v>1501.8</v>
      </c>
      <c r="J34" s="142">
        <v>1200</v>
      </c>
      <c r="K34" s="143">
        <v>0</v>
      </c>
      <c r="L34" s="103">
        <f t="shared" si="7"/>
        <v>0</v>
      </c>
      <c r="M34" s="127"/>
      <c r="N34" s="128"/>
    </row>
    <row r="35" spans="1:14" s="10" customFormat="1" thickBot="1" x14ac:dyDescent="0.25">
      <c r="A35" s="295" t="s">
        <v>65</v>
      </c>
      <c r="B35" s="296"/>
      <c r="C35" s="144">
        <v>395</v>
      </c>
      <c r="D35" s="145">
        <v>857</v>
      </c>
      <c r="E35" s="146">
        <v>0</v>
      </c>
      <c r="F35" s="147">
        <v>0</v>
      </c>
      <c r="G35" s="147">
        <v>0</v>
      </c>
      <c r="H35" s="148">
        <v>0.5</v>
      </c>
      <c r="I35" s="141">
        <v>2805</v>
      </c>
      <c r="J35" s="142">
        <v>1600</v>
      </c>
      <c r="K35" s="143">
        <v>0</v>
      </c>
      <c r="L35" s="103">
        <f t="shared" si="7"/>
        <v>0</v>
      </c>
      <c r="M35" s="149"/>
      <c r="N35" s="150"/>
    </row>
    <row r="36" spans="1:14" s="159" customFormat="1" thickBot="1" x14ac:dyDescent="0.25">
      <c r="A36" s="151" t="s">
        <v>66</v>
      </c>
      <c r="B36" s="152" t="s">
        <v>67</v>
      </c>
      <c r="C36" s="152" t="s">
        <v>68</v>
      </c>
      <c r="D36" s="153" t="s">
        <v>69</v>
      </c>
      <c r="E36" s="154" t="s">
        <v>70</v>
      </c>
      <c r="F36" s="155" t="s">
        <v>71</v>
      </c>
      <c r="G36" s="154" t="s">
        <v>72</v>
      </c>
      <c r="H36" s="154" t="s">
        <v>73</v>
      </c>
      <c r="I36" s="156" t="s">
        <v>74</v>
      </c>
      <c r="J36" s="156" t="s">
        <v>75</v>
      </c>
      <c r="K36" s="157"/>
      <c r="L36" s="156" t="s">
        <v>55</v>
      </c>
      <c r="M36" s="156" t="s">
        <v>76</v>
      </c>
      <c r="N36" s="158" t="s">
        <v>77</v>
      </c>
    </row>
    <row r="37" spans="1:14" s="10" customFormat="1" thickBot="1" x14ac:dyDescent="0.25">
      <c r="A37" s="160">
        <v>20</v>
      </c>
      <c r="B37" s="161">
        <v>12</v>
      </c>
      <c r="C37" s="162">
        <f>A37*C35</f>
        <v>7900</v>
      </c>
      <c r="D37" s="163">
        <f>D35*B37</f>
        <v>10284</v>
      </c>
      <c r="E37" s="162"/>
      <c r="F37" s="163"/>
      <c r="G37" s="162"/>
      <c r="H37" s="162">
        <f>H35*E27</f>
        <v>6793.5</v>
      </c>
      <c r="I37" s="162">
        <v>0</v>
      </c>
      <c r="J37" s="162">
        <v>500</v>
      </c>
      <c r="K37" s="162"/>
      <c r="L37" s="162">
        <f>SUM(L31:L35)</f>
        <v>2360.6999999999998</v>
      </c>
      <c r="M37" s="164">
        <f>SUM(C37:L37)</f>
        <v>27838.2</v>
      </c>
      <c r="N37" s="165">
        <f>M37/E27</f>
        <v>2.0488849635681166</v>
      </c>
    </row>
    <row r="38" spans="1:14" s="10" customFormat="1" thickBot="1" x14ac:dyDescent="0.25">
      <c r="A38" s="263"/>
      <c r="B38" s="264"/>
      <c r="C38" s="265" t="s">
        <v>78</v>
      </c>
      <c r="D38" s="265"/>
      <c r="E38" s="166">
        <v>3.3</v>
      </c>
      <c r="F38" s="167"/>
      <c r="G38" s="43"/>
      <c r="H38" s="43"/>
      <c r="I38" s="43"/>
      <c r="J38" s="43"/>
      <c r="K38" s="43"/>
      <c r="L38" s="43"/>
      <c r="M38" s="168"/>
      <c r="N38" s="168"/>
    </row>
    <row r="39" spans="1:14" s="10" customFormat="1" thickBot="1" x14ac:dyDescent="0.25">
      <c r="A39" s="169"/>
      <c r="B39" s="170" t="s">
        <v>79</v>
      </c>
      <c r="C39" s="171">
        <v>4.2</v>
      </c>
      <c r="D39" s="171">
        <v>5</v>
      </c>
      <c r="E39" s="171">
        <v>5</v>
      </c>
      <c r="F39" s="172">
        <v>8.6999999999999993</v>
      </c>
      <c r="G39" s="43"/>
      <c r="H39" s="43"/>
      <c r="I39" s="43"/>
      <c r="J39" s="43"/>
      <c r="K39" s="43"/>
      <c r="L39" s="43"/>
      <c r="M39" s="168"/>
      <c r="N39" s="168"/>
    </row>
    <row r="40" spans="1:14" s="10" customFormat="1" ht="12" x14ac:dyDescent="0.2">
      <c r="A40" s="173"/>
      <c r="B40" s="174" t="s">
        <v>80</v>
      </c>
      <c r="C40" s="174" t="s">
        <v>81</v>
      </c>
      <c r="D40" s="11" t="s">
        <v>103</v>
      </c>
      <c r="E40" s="11" t="s">
        <v>40</v>
      </c>
      <c r="F40" s="175" t="s">
        <v>99</v>
      </c>
      <c r="G40" s="43"/>
      <c r="H40" s="43"/>
      <c r="I40" s="43"/>
      <c r="J40" s="43"/>
      <c r="K40" s="43"/>
      <c r="L40" s="43"/>
      <c r="M40" s="168"/>
      <c r="N40" s="168"/>
    </row>
    <row r="41" spans="1:14" s="10" customFormat="1" ht="12" x14ac:dyDescent="0.2">
      <c r="A41" s="176" t="s">
        <v>82</v>
      </c>
      <c r="B41" s="177">
        <v>1.2</v>
      </c>
      <c r="C41" s="178">
        <f>($C$39*$E$38)/B41</f>
        <v>11.55</v>
      </c>
      <c r="D41" s="178">
        <f>($D$39*$E$38)/B41</f>
        <v>13.75</v>
      </c>
      <c r="E41" s="178">
        <f>($E$39*$E$38)/B41</f>
        <v>13.75</v>
      </c>
      <c r="F41" s="179"/>
      <c r="G41" s="43"/>
      <c r="H41" s="43"/>
      <c r="I41" s="43"/>
      <c r="J41" s="43"/>
      <c r="K41" s="43"/>
      <c r="L41" s="43"/>
      <c r="M41" s="168"/>
      <c r="N41" s="168"/>
    </row>
    <row r="42" spans="1:14" s="180" customFormat="1" ht="12" x14ac:dyDescent="0.2">
      <c r="A42" s="176" t="s">
        <v>83</v>
      </c>
      <c r="B42" s="177">
        <v>1.6</v>
      </c>
      <c r="C42" s="178">
        <f t="shared" ref="C42:C47" si="8">($C$39*$E$38)/B42</f>
        <v>8.6624999999999996</v>
      </c>
      <c r="D42" s="178">
        <f t="shared" ref="D42:D46" si="9">($D$39*$E$38)/B42</f>
        <v>10.3125</v>
      </c>
      <c r="E42" s="178">
        <f t="shared" ref="E42:E47" si="10">($E$39*$E$38)/B42</f>
        <v>10.3125</v>
      </c>
      <c r="F42" s="179"/>
      <c r="G42" s="43"/>
      <c r="H42" s="43"/>
      <c r="I42" s="43"/>
      <c r="J42" s="43"/>
      <c r="K42" s="43"/>
      <c r="L42" s="43"/>
      <c r="M42" s="168"/>
      <c r="N42" s="168"/>
    </row>
    <row r="43" spans="1:14" s="10" customFormat="1" ht="12" x14ac:dyDescent="0.2">
      <c r="A43" s="176" t="s">
        <v>84</v>
      </c>
      <c r="B43" s="177">
        <v>1.1200000000000001</v>
      </c>
      <c r="C43" s="178">
        <f t="shared" si="8"/>
        <v>12.374999999999998</v>
      </c>
      <c r="D43" s="178">
        <f t="shared" si="9"/>
        <v>14.732142857142856</v>
      </c>
      <c r="E43" s="178">
        <f t="shared" si="10"/>
        <v>14.732142857142856</v>
      </c>
      <c r="F43" s="179"/>
      <c r="G43" s="43"/>
      <c r="H43" s="43"/>
      <c r="I43" s="43"/>
      <c r="J43" s="43"/>
      <c r="K43" s="43"/>
      <c r="L43" s="43"/>
      <c r="M43" s="168"/>
      <c r="N43" s="168"/>
    </row>
    <row r="44" spans="1:14" s="10" customFormat="1" ht="12" x14ac:dyDescent="0.2">
      <c r="A44" s="176" t="s">
        <v>45</v>
      </c>
      <c r="B44" s="177">
        <v>1.08</v>
      </c>
      <c r="C44" s="178">
        <f t="shared" si="8"/>
        <v>12.833333333333332</v>
      </c>
      <c r="D44" s="178">
        <f t="shared" si="9"/>
        <v>15.277777777777777</v>
      </c>
      <c r="E44" s="178">
        <f t="shared" si="10"/>
        <v>15.277777777777777</v>
      </c>
      <c r="F44" s="179"/>
      <c r="G44" s="43"/>
      <c r="H44" s="43"/>
      <c r="I44" s="43"/>
      <c r="J44" s="43"/>
      <c r="K44" s="43"/>
      <c r="L44" s="43"/>
      <c r="M44" s="168"/>
      <c r="N44" s="168"/>
    </row>
    <row r="45" spans="1:14" s="10" customFormat="1" ht="12" x14ac:dyDescent="0.2">
      <c r="A45" s="176" t="s">
        <v>85</v>
      </c>
      <c r="B45" s="177">
        <v>1.04</v>
      </c>
      <c r="C45" s="178">
        <f t="shared" si="8"/>
        <v>13.326923076923077</v>
      </c>
      <c r="D45" s="178">
        <f t="shared" si="9"/>
        <v>15.865384615384615</v>
      </c>
      <c r="E45" s="178">
        <f t="shared" si="10"/>
        <v>15.865384615384615</v>
      </c>
      <c r="F45" s="179">
        <f>F39*E38/B45</f>
        <v>27.605769230769226</v>
      </c>
      <c r="G45" s="43"/>
      <c r="H45" s="43"/>
      <c r="I45" s="43"/>
      <c r="J45" s="43"/>
      <c r="K45" s="43"/>
      <c r="L45" s="43"/>
      <c r="M45" s="168"/>
      <c r="N45" s="168"/>
    </row>
    <row r="46" spans="1:14" s="10" customFormat="1" ht="12" x14ac:dyDescent="0.2">
      <c r="A46" s="176" t="s">
        <v>47</v>
      </c>
      <c r="B46" s="177">
        <v>1.6</v>
      </c>
      <c r="C46" s="178">
        <f t="shared" si="8"/>
        <v>8.6624999999999996</v>
      </c>
      <c r="D46" s="178">
        <f t="shared" si="9"/>
        <v>10.3125</v>
      </c>
      <c r="E46" s="178">
        <f t="shared" si="10"/>
        <v>10.3125</v>
      </c>
      <c r="F46" s="179"/>
      <c r="G46" s="43"/>
      <c r="H46" s="43"/>
      <c r="I46" s="43"/>
      <c r="J46" s="43"/>
      <c r="K46" s="43"/>
      <c r="L46" s="43"/>
      <c r="M46" s="168"/>
      <c r="N46" s="168"/>
    </row>
    <row r="47" spans="1:14" s="10" customFormat="1" thickBot="1" x14ac:dyDescent="0.25">
      <c r="A47" s="181" t="s">
        <v>39</v>
      </c>
      <c r="B47" s="182">
        <v>1.4</v>
      </c>
      <c r="C47" s="183">
        <f t="shared" si="8"/>
        <v>9.9</v>
      </c>
      <c r="D47" s="183">
        <f>($D$39*$E$38)/B47</f>
        <v>11.785714285714286</v>
      </c>
      <c r="E47" s="183">
        <f t="shared" si="10"/>
        <v>11.785714285714286</v>
      </c>
      <c r="F47" s="184"/>
      <c r="G47" s="43"/>
      <c r="H47" s="43"/>
      <c r="I47" s="43"/>
      <c r="J47" s="43"/>
      <c r="K47" s="43"/>
      <c r="L47" s="43"/>
      <c r="M47" s="168"/>
      <c r="N47" s="168"/>
    </row>
    <row r="48" spans="1:14" s="10" customFormat="1" thickBot="1" x14ac:dyDescent="0.25">
      <c r="A48" s="210"/>
      <c r="B48" s="21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168"/>
      <c r="N48" s="168"/>
    </row>
    <row r="49" spans="1:15" s="10" customFormat="1" ht="12" x14ac:dyDescent="0.2">
      <c r="A49" s="266"/>
      <c r="B49" s="267"/>
      <c r="C49" s="268"/>
      <c r="D49" s="60"/>
      <c r="E49" s="61"/>
      <c r="F49" s="62"/>
      <c r="G49" s="63"/>
      <c r="H49" s="64"/>
      <c r="I49" s="60"/>
      <c r="J49" s="61"/>
      <c r="K49" s="65"/>
      <c r="L49" s="62"/>
      <c r="M49" s="61"/>
      <c r="N49" s="66"/>
      <c r="O49" s="9"/>
    </row>
    <row r="50" spans="1:15" s="10" customFormat="1" ht="12" x14ac:dyDescent="0.2">
      <c r="A50" s="269"/>
      <c r="B50" s="270"/>
      <c r="C50" s="271"/>
      <c r="D50" s="67"/>
      <c r="E50" s="68"/>
      <c r="F50" s="69"/>
      <c r="G50" s="70"/>
      <c r="H50" s="70"/>
      <c r="I50" s="71"/>
      <c r="J50" s="72"/>
      <c r="K50" s="73"/>
      <c r="L50" s="70"/>
      <c r="M50" s="70"/>
      <c r="N50" s="74"/>
    </row>
    <row r="51" spans="1:15" s="10" customFormat="1" thickBot="1" x14ac:dyDescent="0.25">
      <c r="A51" s="272"/>
      <c r="B51" s="273"/>
      <c r="C51" s="274"/>
      <c r="D51" s="69"/>
      <c r="E51" s="72"/>
      <c r="F51" s="71"/>
      <c r="G51" s="70"/>
      <c r="H51" s="70"/>
      <c r="I51" s="75"/>
      <c r="J51" s="75"/>
      <c r="K51" s="73"/>
      <c r="L51" s="70"/>
      <c r="M51" s="70"/>
      <c r="N51" s="74"/>
    </row>
    <row r="52" spans="1:15" s="10" customFormat="1" thickBot="1" x14ac:dyDescent="0.25">
      <c r="A52" s="151"/>
      <c r="B52" s="152"/>
      <c r="C52" s="152"/>
      <c r="D52" s="154"/>
      <c r="E52" s="154"/>
      <c r="F52" s="156"/>
      <c r="G52" s="156"/>
      <c r="H52" s="156"/>
      <c r="I52" s="156"/>
      <c r="J52" s="156"/>
      <c r="K52" s="157"/>
      <c r="L52" s="156"/>
      <c r="M52" s="156"/>
      <c r="N52" s="158"/>
      <c r="O52" s="82"/>
    </row>
    <row r="53" spans="1:15" s="10" customFormat="1" ht="12" x14ac:dyDescent="0.2">
      <c r="A53" s="85"/>
      <c r="B53" s="86"/>
      <c r="C53" s="97"/>
      <c r="D53" s="98"/>
      <c r="E53" s="99"/>
      <c r="F53" s="89"/>
      <c r="G53" s="211"/>
      <c r="H53" s="100"/>
      <c r="I53" s="100"/>
      <c r="J53" s="100"/>
      <c r="K53" s="212"/>
      <c r="L53" s="91"/>
      <c r="M53" s="213"/>
      <c r="N53" s="214"/>
    </row>
    <row r="54" spans="1:15" s="10" customFormat="1" ht="12" x14ac:dyDescent="0.2">
      <c r="A54" s="96"/>
      <c r="B54" s="97"/>
      <c r="C54" s="97"/>
      <c r="D54" s="98"/>
      <c r="E54" s="99"/>
      <c r="F54" s="100"/>
      <c r="G54" s="211"/>
      <c r="H54" s="100"/>
      <c r="I54" s="100"/>
      <c r="J54" s="100"/>
      <c r="K54" s="212"/>
      <c r="L54" s="102"/>
      <c r="M54" s="213"/>
      <c r="N54" s="214"/>
    </row>
    <row r="55" spans="1:15" s="10" customFormat="1" ht="12" x14ac:dyDescent="0.2">
      <c r="A55" s="96"/>
      <c r="B55" s="97"/>
      <c r="C55" s="97"/>
      <c r="D55" s="98"/>
      <c r="E55" s="99"/>
      <c r="F55" s="100"/>
      <c r="G55" s="211"/>
      <c r="H55" s="100"/>
      <c r="I55" s="100"/>
      <c r="J55" s="100"/>
      <c r="K55" s="212"/>
      <c r="L55" s="102"/>
      <c r="M55" s="213"/>
      <c r="N55" s="214"/>
    </row>
    <row r="56" spans="1:15" s="10" customFormat="1" ht="12" x14ac:dyDescent="0.2">
      <c r="A56" s="96"/>
      <c r="B56" s="97"/>
      <c r="C56" s="97"/>
      <c r="D56" s="98"/>
      <c r="E56" s="99"/>
      <c r="F56" s="100"/>
      <c r="G56" s="211"/>
      <c r="H56" s="100"/>
      <c r="I56" s="100"/>
      <c r="J56" s="100"/>
      <c r="K56" s="212"/>
      <c r="L56" s="102"/>
      <c r="M56" s="213"/>
      <c r="N56" s="214"/>
    </row>
    <row r="57" spans="1:15" s="10" customFormat="1" ht="12" x14ac:dyDescent="0.2">
      <c r="A57" s="96"/>
      <c r="B57" s="97"/>
      <c r="C57" s="97"/>
      <c r="D57" s="98"/>
      <c r="E57" s="99"/>
      <c r="F57" s="100"/>
      <c r="G57" s="211"/>
      <c r="H57" s="100"/>
      <c r="I57" s="100"/>
      <c r="J57" s="100"/>
      <c r="K57" s="212"/>
      <c r="L57" s="102"/>
      <c r="M57" s="213"/>
      <c r="N57" s="214"/>
    </row>
    <row r="58" spans="1:15" s="10" customFormat="1" ht="12" x14ac:dyDescent="0.2">
      <c r="A58" s="96"/>
      <c r="B58" s="97"/>
      <c r="C58" s="97"/>
      <c r="D58" s="98"/>
      <c r="E58" s="99"/>
      <c r="F58" s="100"/>
      <c r="G58" s="211"/>
      <c r="H58" s="100"/>
      <c r="I58" s="100"/>
      <c r="J58" s="100"/>
      <c r="K58" s="212"/>
      <c r="L58" s="102"/>
      <c r="M58" s="213"/>
      <c r="N58" s="214"/>
    </row>
    <row r="59" spans="1:15" s="10" customFormat="1" ht="12" x14ac:dyDescent="0.2">
      <c r="A59" s="96"/>
      <c r="B59" s="97"/>
      <c r="C59" s="97"/>
      <c r="D59" s="98"/>
      <c r="E59" s="99"/>
      <c r="F59" s="100"/>
      <c r="G59" s="211"/>
      <c r="H59" s="100"/>
      <c r="I59" s="100"/>
      <c r="J59" s="100"/>
      <c r="K59" s="212"/>
      <c r="L59" s="102"/>
      <c r="M59" s="213"/>
      <c r="N59" s="214"/>
    </row>
    <row r="60" spans="1:15" s="10" customFormat="1" ht="12" x14ac:dyDescent="0.2">
      <c r="A60" s="96"/>
      <c r="B60" s="97"/>
      <c r="C60" s="97"/>
      <c r="D60" s="98"/>
      <c r="E60" s="99"/>
      <c r="F60" s="100"/>
      <c r="G60" s="211"/>
      <c r="H60" s="100"/>
      <c r="I60" s="100"/>
      <c r="J60" s="100"/>
      <c r="K60" s="212"/>
      <c r="L60" s="102"/>
      <c r="M60" s="213"/>
      <c r="N60" s="214"/>
    </row>
    <row r="61" spans="1:15" s="10" customFormat="1" ht="12" x14ac:dyDescent="0.2">
      <c r="A61" s="23"/>
      <c r="B61" s="97"/>
      <c r="C61" s="97"/>
      <c r="D61" s="98"/>
      <c r="E61" s="99"/>
      <c r="F61" s="100"/>
      <c r="G61" s="211"/>
      <c r="H61" s="100"/>
      <c r="I61" s="100"/>
      <c r="J61" s="100"/>
      <c r="K61" s="101"/>
      <c r="L61" s="102"/>
      <c r="M61" s="215"/>
      <c r="N61" s="214"/>
    </row>
    <row r="62" spans="1:15" s="10" customFormat="1" ht="12" x14ac:dyDescent="0.2">
      <c r="A62" s="23"/>
      <c r="B62" s="97"/>
      <c r="C62" s="97"/>
      <c r="D62" s="98"/>
      <c r="E62" s="99"/>
      <c r="F62" s="100"/>
      <c r="G62" s="211"/>
      <c r="H62" s="100"/>
      <c r="I62" s="100"/>
      <c r="J62" s="100"/>
      <c r="K62" s="212"/>
      <c r="L62" s="102"/>
      <c r="M62" s="213"/>
      <c r="N62" s="214"/>
    </row>
    <row r="63" spans="1:15" s="10" customFormat="1" ht="12" x14ac:dyDescent="0.2">
      <c r="A63" s="23"/>
      <c r="B63" s="97"/>
      <c r="C63" s="97"/>
      <c r="D63" s="98"/>
      <c r="E63" s="99"/>
      <c r="F63" s="100"/>
      <c r="G63" s="211"/>
      <c r="H63" s="100"/>
      <c r="I63" s="100"/>
      <c r="J63" s="100"/>
      <c r="K63" s="212"/>
      <c r="L63" s="102"/>
      <c r="M63" s="213"/>
      <c r="N63" s="214"/>
    </row>
    <row r="64" spans="1:15" s="10" customFormat="1" thickBot="1" x14ac:dyDescent="0.25">
      <c r="A64" s="23"/>
      <c r="B64" s="97"/>
      <c r="C64" s="97"/>
      <c r="D64" s="98"/>
      <c r="E64" s="99"/>
      <c r="F64" s="109"/>
      <c r="G64" s="211"/>
      <c r="H64" s="100"/>
      <c r="I64" s="100"/>
      <c r="J64" s="100"/>
      <c r="K64" s="212"/>
      <c r="L64" s="102"/>
      <c r="M64" s="213"/>
      <c r="N64" s="214"/>
    </row>
    <row r="65" spans="1:18" s="10" customFormat="1" thickBot="1" x14ac:dyDescent="0.25">
      <c r="A65" s="216"/>
      <c r="B65" s="217"/>
      <c r="C65" s="218"/>
      <c r="D65" s="219"/>
      <c r="E65" s="219"/>
      <c r="F65" s="220"/>
      <c r="G65" s="220"/>
      <c r="H65" s="221"/>
      <c r="I65" s="222"/>
      <c r="J65" s="164"/>
      <c r="K65" s="222"/>
      <c r="L65" s="164"/>
      <c r="M65" s="223"/>
      <c r="N65" s="224"/>
      <c r="O65" s="9"/>
    </row>
    <row r="66" spans="1:18" s="10" customFormat="1" thickBot="1" x14ac:dyDescent="0.25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  <c r="R66" s="225"/>
    </row>
    <row r="67" spans="1:18" s="10" customFormat="1" ht="12" x14ac:dyDescent="0.2">
      <c r="A67" s="275"/>
      <c r="B67" s="276"/>
      <c r="C67" s="125"/>
      <c r="D67" s="125"/>
      <c r="E67" s="126"/>
      <c r="F67" s="277"/>
      <c r="G67" s="278"/>
      <c r="H67" s="279"/>
      <c r="I67" s="292"/>
      <c r="J67" s="293"/>
      <c r="K67" s="293"/>
      <c r="L67" s="294"/>
      <c r="M67" s="127"/>
      <c r="N67" s="128"/>
    </row>
    <row r="68" spans="1:18" s="10" customFormat="1" ht="12" x14ac:dyDescent="0.2">
      <c r="A68" s="286"/>
      <c r="B68" s="287"/>
      <c r="C68" s="100"/>
      <c r="D68" s="100"/>
      <c r="E68" s="129"/>
      <c r="F68" s="280"/>
      <c r="G68" s="281"/>
      <c r="H68" s="282"/>
      <c r="I68" s="130"/>
      <c r="J68" s="131"/>
      <c r="K68" s="132"/>
      <c r="L68" s="133"/>
      <c r="M68" s="127"/>
      <c r="N68" s="128"/>
    </row>
    <row r="69" spans="1:18" s="10" customFormat="1" ht="12" x14ac:dyDescent="0.2">
      <c r="A69" s="286"/>
      <c r="B69" s="287"/>
      <c r="C69" s="134"/>
      <c r="D69" s="134"/>
      <c r="E69" s="135"/>
      <c r="F69" s="280"/>
      <c r="G69" s="281"/>
      <c r="H69" s="282"/>
      <c r="I69" s="136"/>
      <c r="J69" s="137"/>
      <c r="K69" s="138"/>
      <c r="L69" s="139"/>
      <c r="M69" s="127"/>
      <c r="N69" s="128"/>
    </row>
    <row r="70" spans="1:18" s="10" customFormat="1" thickBot="1" x14ac:dyDescent="0.25">
      <c r="A70" s="288"/>
      <c r="B70" s="289"/>
      <c r="C70" s="140"/>
      <c r="D70" s="140"/>
      <c r="E70" s="48"/>
      <c r="F70" s="283"/>
      <c r="G70" s="284"/>
      <c r="H70" s="285"/>
      <c r="I70" s="141"/>
      <c r="J70" s="142"/>
      <c r="K70" s="143"/>
      <c r="L70" s="103"/>
      <c r="M70" s="127"/>
      <c r="N70" s="128"/>
    </row>
    <row r="71" spans="1:18" s="10" customFormat="1" ht="12" x14ac:dyDescent="0.2">
      <c r="A71" s="257"/>
      <c r="B71" s="258"/>
      <c r="C71" s="258"/>
      <c r="D71" s="258"/>
      <c r="E71" s="258"/>
      <c r="F71" s="258"/>
      <c r="G71" s="258"/>
      <c r="H71" s="259"/>
      <c r="I71" s="141"/>
      <c r="J71" s="142"/>
      <c r="K71" s="143"/>
      <c r="L71" s="103"/>
      <c r="M71" s="127"/>
      <c r="N71" s="128"/>
    </row>
    <row r="72" spans="1:18" s="10" customFormat="1" thickBot="1" x14ac:dyDescent="0.25">
      <c r="A72" s="260"/>
      <c r="B72" s="261"/>
      <c r="C72" s="261"/>
      <c r="D72" s="261"/>
      <c r="E72" s="261"/>
      <c r="F72" s="261"/>
      <c r="G72" s="261"/>
      <c r="H72" s="262"/>
      <c r="I72" s="141"/>
      <c r="J72" s="142"/>
      <c r="K72" s="143"/>
      <c r="L72" s="103"/>
      <c r="M72" s="127"/>
      <c r="N72" s="128"/>
    </row>
    <row r="73" spans="1:18" s="10" customFormat="1" thickBot="1" x14ac:dyDescent="0.25">
      <c r="A73" s="290"/>
      <c r="B73" s="291"/>
      <c r="C73" s="144"/>
      <c r="D73" s="147"/>
      <c r="E73" s="146"/>
      <c r="F73" s="147"/>
      <c r="G73" s="147"/>
      <c r="H73" s="148"/>
      <c r="I73" s="141"/>
      <c r="J73" s="142"/>
      <c r="K73" s="143"/>
      <c r="L73" s="103"/>
      <c r="M73" s="149"/>
      <c r="N73" s="150"/>
    </row>
    <row r="74" spans="1:18" s="159" customFormat="1" thickBot="1" x14ac:dyDescent="0.25">
      <c r="A74" s="151"/>
      <c r="B74" s="152"/>
      <c r="C74" s="152"/>
      <c r="D74" s="153"/>
      <c r="E74" s="154"/>
      <c r="F74" s="155"/>
      <c r="G74" s="154"/>
      <c r="H74" s="154"/>
      <c r="I74" s="156"/>
      <c r="J74" s="156"/>
      <c r="K74" s="157"/>
      <c r="L74" s="156"/>
      <c r="M74" s="156"/>
      <c r="N74" s="158"/>
    </row>
    <row r="75" spans="1:18" s="10" customFormat="1" thickBot="1" x14ac:dyDescent="0.25">
      <c r="A75" s="160"/>
      <c r="B75" s="161"/>
      <c r="C75" s="162"/>
      <c r="D75" s="163"/>
      <c r="E75" s="162"/>
      <c r="F75" s="163"/>
      <c r="G75" s="162"/>
      <c r="H75" s="162"/>
      <c r="I75" s="162"/>
      <c r="J75" s="162"/>
      <c r="K75" s="162"/>
      <c r="L75" s="162"/>
      <c r="M75" s="164"/>
      <c r="N75" s="165"/>
    </row>
    <row r="76" spans="1:18" s="10" customFormat="1" thickBot="1" x14ac:dyDescent="0.25">
      <c r="A76" s="263"/>
      <c r="B76" s="264"/>
      <c r="C76" s="265"/>
      <c r="D76" s="265"/>
      <c r="E76" s="166"/>
      <c r="F76" s="167"/>
      <c r="G76" s="43"/>
      <c r="H76" s="43"/>
      <c r="I76" s="43"/>
      <c r="J76" s="43"/>
      <c r="K76" s="43"/>
      <c r="L76" s="43"/>
      <c r="M76" s="168"/>
      <c r="N76" s="168"/>
    </row>
    <row r="77" spans="1:18" s="10" customFormat="1" thickBot="1" x14ac:dyDescent="0.25">
      <c r="A77" s="169"/>
      <c r="B77" s="170"/>
      <c r="C77" s="171"/>
      <c r="D77" s="171"/>
      <c r="E77" s="171"/>
      <c r="F77" s="172"/>
      <c r="G77" s="226"/>
      <c r="H77" s="43"/>
      <c r="I77" s="43"/>
      <c r="J77" s="43"/>
      <c r="K77" s="43"/>
      <c r="L77" s="43"/>
      <c r="M77" s="168"/>
      <c r="N77" s="168"/>
    </row>
    <row r="78" spans="1:18" s="10" customFormat="1" ht="12" x14ac:dyDescent="0.2">
      <c r="A78" s="173"/>
      <c r="B78" s="174"/>
      <c r="C78" s="174"/>
      <c r="D78" s="11"/>
      <c r="E78" s="11"/>
      <c r="F78" s="175"/>
      <c r="G78" s="43"/>
      <c r="H78" s="43"/>
      <c r="I78" s="43"/>
      <c r="J78" s="43"/>
      <c r="K78" s="43"/>
      <c r="L78" s="43"/>
      <c r="M78" s="168"/>
      <c r="N78" s="168"/>
    </row>
    <row r="79" spans="1:18" s="10" customFormat="1" ht="12" x14ac:dyDescent="0.2">
      <c r="A79" s="176"/>
      <c r="B79" s="177"/>
      <c r="C79" s="178"/>
      <c r="D79" s="178"/>
      <c r="E79" s="178"/>
      <c r="F79" s="179"/>
      <c r="G79" s="178"/>
      <c r="H79" s="43"/>
      <c r="I79" s="43"/>
      <c r="J79" s="43"/>
      <c r="K79" s="43"/>
      <c r="L79" s="43"/>
      <c r="M79" s="168"/>
      <c r="N79" s="168"/>
    </row>
    <row r="80" spans="1:18" s="180" customFormat="1" ht="12" x14ac:dyDescent="0.2">
      <c r="A80" s="176"/>
      <c r="B80" s="177"/>
      <c r="C80" s="178"/>
      <c r="D80" s="178"/>
      <c r="E80" s="178"/>
      <c r="F80" s="179"/>
      <c r="G80" s="178"/>
      <c r="H80" s="43"/>
      <c r="I80" s="43"/>
      <c r="J80" s="43"/>
      <c r="K80" s="43"/>
      <c r="L80" s="43"/>
      <c r="M80" s="168"/>
      <c r="N80" s="168"/>
    </row>
    <row r="81" spans="1:15" s="10" customFormat="1" ht="12" x14ac:dyDescent="0.2">
      <c r="A81" s="176"/>
      <c r="B81" s="177"/>
      <c r="C81" s="178"/>
      <c r="D81" s="178"/>
      <c r="E81" s="178"/>
      <c r="F81" s="179"/>
      <c r="G81" s="43"/>
      <c r="H81" s="43"/>
      <c r="I81" s="43"/>
      <c r="J81" s="43"/>
      <c r="K81" s="43"/>
      <c r="L81" s="43"/>
      <c r="M81" s="168"/>
      <c r="N81" s="168"/>
    </row>
    <row r="82" spans="1:15" s="10" customFormat="1" ht="12" x14ac:dyDescent="0.2">
      <c r="A82" s="176"/>
      <c r="B82" s="177"/>
      <c r="C82" s="178"/>
      <c r="D82" s="178"/>
      <c r="E82" s="178"/>
      <c r="F82" s="179"/>
      <c r="G82" s="43"/>
      <c r="H82" s="43"/>
      <c r="I82" s="43"/>
      <c r="J82" s="43"/>
      <c r="K82" s="43"/>
      <c r="L82" s="43"/>
      <c r="M82" s="168"/>
      <c r="N82" s="168"/>
    </row>
    <row r="83" spans="1:15" s="10" customFormat="1" ht="12" x14ac:dyDescent="0.2">
      <c r="A83" s="176"/>
      <c r="B83" s="177"/>
      <c r="C83" s="178"/>
      <c r="D83" s="178"/>
      <c r="E83" s="178"/>
      <c r="F83" s="179"/>
      <c r="G83" s="43"/>
      <c r="H83" s="43"/>
      <c r="I83" s="43"/>
      <c r="J83" s="43"/>
      <c r="K83" s="43"/>
      <c r="L83" s="43"/>
      <c r="M83" s="168"/>
      <c r="N83" s="168"/>
    </row>
    <row r="84" spans="1:15" s="10" customFormat="1" ht="12" x14ac:dyDescent="0.2">
      <c r="A84" s="176"/>
      <c r="B84" s="177"/>
      <c r="C84" s="178"/>
      <c r="D84" s="178"/>
      <c r="E84" s="178"/>
      <c r="F84" s="179"/>
      <c r="G84" s="43"/>
      <c r="H84" s="43"/>
      <c r="I84" s="43"/>
      <c r="J84" s="43"/>
      <c r="K84" s="43"/>
      <c r="L84" s="43"/>
      <c r="M84" s="168"/>
      <c r="N84" s="168"/>
    </row>
    <row r="85" spans="1:15" s="10" customFormat="1" thickBot="1" x14ac:dyDescent="0.25">
      <c r="A85" s="181"/>
      <c r="B85" s="182"/>
      <c r="C85" s="183"/>
      <c r="D85" s="183"/>
      <c r="E85" s="183"/>
      <c r="F85" s="184"/>
      <c r="G85" s="43"/>
      <c r="H85" s="43"/>
      <c r="I85" s="43"/>
      <c r="J85" s="43"/>
      <c r="K85" s="43"/>
      <c r="L85" s="43"/>
      <c r="M85" s="168"/>
      <c r="N85" s="168"/>
    </row>
    <row r="86" spans="1:15" s="10" customFormat="1" thickBot="1" x14ac:dyDescent="0.25">
      <c r="A86" s="210"/>
      <c r="B86" s="210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168"/>
      <c r="N86" s="168"/>
    </row>
    <row r="87" spans="1:15" s="10" customFormat="1" ht="12" x14ac:dyDescent="0.2">
      <c r="A87" s="266"/>
      <c r="B87" s="267"/>
      <c r="C87" s="268"/>
      <c r="D87" s="60"/>
      <c r="E87" s="61"/>
      <c r="F87" s="62"/>
      <c r="G87" s="63"/>
      <c r="H87" s="64"/>
      <c r="I87" s="60"/>
      <c r="J87" s="61"/>
      <c r="K87" s="65"/>
      <c r="L87" s="62"/>
      <c r="M87" s="61"/>
      <c r="N87" s="66"/>
      <c r="O87" s="9"/>
    </row>
    <row r="88" spans="1:15" s="10" customFormat="1" ht="12" x14ac:dyDescent="0.2">
      <c r="A88" s="269"/>
      <c r="B88" s="270"/>
      <c r="C88" s="271"/>
      <c r="D88" s="67"/>
      <c r="E88" s="68"/>
      <c r="F88" s="69"/>
      <c r="G88" s="70"/>
      <c r="H88" s="70"/>
      <c r="I88" s="71"/>
      <c r="J88" s="72"/>
      <c r="K88" s="73"/>
      <c r="L88" s="70"/>
      <c r="M88" s="70"/>
      <c r="N88" s="74"/>
    </row>
    <row r="89" spans="1:15" s="10" customFormat="1" thickBot="1" x14ac:dyDescent="0.25">
      <c r="A89" s="272"/>
      <c r="B89" s="273"/>
      <c r="C89" s="274"/>
      <c r="D89" s="69"/>
      <c r="E89" s="72"/>
      <c r="F89" s="71"/>
      <c r="G89" s="70"/>
      <c r="H89" s="70"/>
      <c r="I89" s="75"/>
      <c r="J89" s="75"/>
      <c r="K89" s="73"/>
      <c r="L89" s="70"/>
      <c r="M89" s="70"/>
      <c r="N89" s="74"/>
    </row>
    <row r="90" spans="1:15" s="10" customFormat="1" thickBot="1" x14ac:dyDescent="0.25">
      <c r="A90" s="151"/>
      <c r="B90" s="152"/>
      <c r="C90" s="152"/>
      <c r="D90" s="154"/>
      <c r="E90" s="154"/>
      <c r="F90" s="156"/>
      <c r="G90" s="156"/>
      <c r="H90" s="156"/>
      <c r="I90" s="156"/>
      <c r="J90" s="156"/>
      <c r="K90" s="157"/>
      <c r="L90" s="156"/>
      <c r="M90" s="156"/>
      <c r="N90" s="158"/>
      <c r="O90" s="82"/>
    </row>
    <row r="91" spans="1:15" s="10" customFormat="1" ht="12" x14ac:dyDescent="0.2">
      <c r="A91" s="85"/>
      <c r="B91" s="86"/>
      <c r="C91" s="97"/>
      <c r="D91" s="98"/>
      <c r="E91" s="99"/>
      <c r="F91" s="89"/>
      <c r="G91" s="211"/>
      <c r="H91" s="100"/>
      <c r="I91" s="100"/>
      <c r="J91" s="100"/>
      <c r="K91" s="212"/>
      <c r="L91" s="91"/>
      <c r="M91" s="213"/>
      <c r="N91" s="214"/>
    </row>
    <row r="92" spans="1:15" s="10" customFormat="1" ht="12" x14ac:dyDescent="0.2">
      <c r="A92" s="96"/>
      <c r="B92" s="97"/>
      <c r="C92" s="97"/>
      <c r="D92" s="98"/>
      <c r="E92" s="99"/>
      <c r="F92" s="100"/>
      <c r="G92" s="211"/>
      <c r="H92" s="100"/>
      <c r="I92" s="100"/>
      <c r="J92" s="100"/>
      <c r="K92" s="212"/>
      <c r="L92" s="102"/>
      <c r="M92" s="213"/>
      <c r="N92" s="214"/>
    </row>
    <row r="93" spans="1:15" s="10" customFormat="1" ht="12" x14ac:dyDescent="0.2">
      <c r="A93" s="96"/>
      <c r="B93" s="97"/>
      <c r="C93" s="97"/>
      <c r="D93" s="98"/>
      <c r="E93" s="99"/>
      <c r="F93" s="100"/>
      <c r="G93" s="211"/>
      <c r="H93" s="100"/>
      <c r="I93" s="100"/>
      <c r="J93" s="100"/>
      <c r="K93" s="212"/>
      <c r="L93" s="102"/>
      <c r="M93" s="213"/>
      <c r="N93" s="214"/>
    </row>
    <row r="94" spans="1:15" s="10" customFormat="1" ht="12" x14ac:dyDescent="0.2">
      <c r="A94" s="96"/>
      <c r="B94" s="97"/>
      <c r="C94" s="97"/>
      <c r="D94" s="98"/>
      <c r="E94" s="99"/>
      <c r="F94" s="100"/>
      <c r="G94" s="211"/>
      <c r="H94" s="100"/>
      <c r="I94" s="100"/>
      <c r="J94" s="100"/>
      <c r="K94" s="212"/>
      <c r="L94" s="102"/>
      <c r="M94" s="213"/>
      <c r="N94" s="214"/>
    </row>
    <row r="95" spans="1:15" s="10" customFormat="1" ht="12" x14ac:dyDescent="0.2">
      <c r="A95" s="96"/>
      <c r="B95" s="97"/>
      <c r="C95" s="97"/>
      <c r="D95" s="98"/>
      <c r="E95" s="99"/>
      <c r="F95" s="100"/>
      <c r="G95" s="211"/>
      <c r="H95" s="100"/>
      <c r="I95" s="100"/>
      <c r="J95" s="100"/>
      <c r="K95" s="212"/>
      <c r="L95" s="102"/>
      <c r="M95" s="213"/>
      <c r="N95" s="214"/>
    </row>
    <row r="96" spans="1:15" s="10" customFormat="1" ht="12" x14ac:dyDescent="0.2">
      <c r="A96" s="96"/>
      <c r="B96" s="97"/>
      <c r="C96" s="97"/>
      <c r="D96" s="98"/>
      <c r="E96" s="99"/>
      <c r="F96" s="100"/>
      <c r="G96" s="211"/>
      <c r="H96" s="100"/>
      <c r="I96" s="100"/>
      <c r="J96" s="100"/>
      <c r="K96" s="212"/>
      <c r="L96" s="102"/>
      <c r="M96" s="213"/>
      <c r="N96" s="214"/>
    </row>
    <row r="97" spans="1:18" s="10" customFormat="1" ht="12" x14ac:dyDescent="0.2">
      <c r="A97" s="96"/>
      <c r="B97" s="97"/>
      <c r="C97" s="97"/>
      <c r="D97" s="98"/>
      <c r="E97" s="99"/>
      <c r="F97" s="100"/>
      <c r="G97" s="211"/>
      <c r="H97" s="100"/>
      <c r="I97" s="100"/>
      <c r="J97" s="100"/>
      <c r="K97" s="212"/>
      <c r="L97" s="102"/>
      <c r="M97" s="213"/>
      <c r="N97" s="214"/>
    </row>
    <row r="98" spans="1:18" s="10" customFormat="1" ht="12" x14ac:dyDescent="0.2">
      <c r="A98" s="96"/>
      <c r="B98" s="97"/>
      <c r="C98" s="97"/>
      <c r="D98" s="98"/>
      <c r="E98" s="99"/>
      <c r="F98" s="100"/>
      <c r="G98" s="211"/>
      <c r="H98" s="100"/>
      <c r="I98" s="100"/>
      <c r="J98" s="100"/>
      <c r="K98" s="212"/>
      <c r="L98" s="102"/>
      <c r="M98" s="213"/>
      <c r="N98" s="214"/>
    </row>
    <row r="99" spans="1:18" s="10" customFormat="1" ht="12" x14ac:dyDescent="0.2">
      <c r="A99" s="23"/>
      <c r="B99" s="97"/>
      <c r="C99" s="97"/>
      <c r="D99" s="98"/>
      <c r="E99" s="99"/>
      <c r="F99" s="100"/>
      <c r="G99" s="211"/>
      <c r="H99" s="100"/>
      <c r="I99" s="100"/>
      <c r="J99" s="100"/>
      <c r="K99" s="101"/>
      <c r="L99" s="102"/>
      <c r="M99" s="215"/>
      <c r="N99" s="214"/>
    </row>
    <row r="100" spans="1:18" s="10" customFormat="1" ht="12" x14ac:dyDescent="0.2">
      <c r="A100" s="23"/>
      <c r="B100" s="97"/>
      <c r="C100" s="97"/>
      <c r="D100" s="98"/>
      <c r="E100" s="99"/>
      <c r="F100" s="100"/>
      <c r="G100" s="211"/>
      <c r="H100" s="100"/>
      <c r="I100" s="100"/>
      <c r="J100" s="100"/>
      <c r="K100" s="212"/>
      <c r="L100" s="102"/>
      <c r="M100" s="213"/>
      <c r="N100" s="214"/>
    </row>
    <row r="101" spans="1:18" s="10" customFormat="1" ht="12" x14ac:dyDescent="0.2">
      <c r="A101" s="23"/>
      <c r="B101" s="97"/>
      <c r="C101" s="97"/>
      <c r="D101" s="98"/>
      <c r="E101" s="99"/>
      <c r="F101" s="100"/>
      <c r="G101" s="211"/>
      <c r="H101" s="100"/>
      <c r="I101" s="100"/>
      <c r="J101" s="100"/>
      <c r="K101" s="212"/>
      <c r="L101" s="102"/>
      <c r="M101" s="213"/>
      <c r="N101" s="214"/>
    </row>
    <row r="102" spans="1:18" s="10" customFormat="1" thickBot="1" x14ac:dyDescent="0.25">
      <c r="A102" s="23"/>
      <c r="B102" s="97"/>
      <c r="C102" s="97"/>
      <c r="D102" s="98"/>
      <c r="E102" s="99"/>
      <c r="F102" s="109"/>
      <c r="G102" s="211"/>
      <c r="H102" s="100"/>
      <c r="I102" s="100"/>
      <c r="J102" s="100"/>
      <c r="K102" s="212"/>
      <c r="L102" s="102"/>
      <c r="M102" s="213"/>
      <c r="N102" s="214"/>
    </row>
    <row r="103" spans="1:18" s="10" customFormat="1" thickBot="1" x14ac:dyDescent="0.25">
      <c r="A103" s="216"/>
      <c r="B103" s="217"/>
      <c r="C103" s="218"/>
      <c r="D103" s="219"/>
      <c r="E103" s="219"/>
      <c r="F103" s="220"/>
      <c r="G103" s="220"/>
      <c r="H103" s="221"/>
      <c r="I103" s="222"/>
      <c r="J103" s="164"/>
      <c r="K103" s="222"/>
      <c r="L103" s="164"/>
      <c r="M103" s="223"/>
      <c r="N103" s="224"/>
      <c r="O103" s="9"/>
    </row>
    <row r="104" spans="1:18" s="10" customFormat="1" thickBot="1" x14ac:dyDescent="0.25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4"/>
      <c r="R104" s="225"/>
    </row>
    <row r="105" spans="1:18" s="10" customFormat="1" ht="12" x14ac:dyDescent="0.2">
      <c r="A105" s="275"/>
      <c r="B105" s="276"/>
      <c r="C105" s="125"/>
      <c r="D105" s="125"/>
      <c r="E105" s="126"/>
      <c r="F105" s="277"/>
      <c r="G105" s="278"/>
      <c r="H105" s="279"/>
      <c r="I105" s="292"/>
      <c r="J105" s="293"/>
      <c r="K105" s="293"/>
      <c r="L105" s="294"/>
      <c r="M105" s="127"/>
      <c r="N105" s="128"/>
    </row>
    <row r="106" spans="1:18" s="10" customFormat="1" ht="12" x14ac:dyDescent="0.2">
      <c r="A106" s="286"/>
      <c r="B106" s="287"/>
      <c r="C106" s="100"/>
      <c r="D106" s="100"/>
      <c r="E106" s="129"/>
      <c r="F106" s="280"/>
      <c r="G106" s="281"/>
      <c r="H106" s="282"/>
      <c r="I106" s="130"/>
      <c r="J106" s="131"/>
      <c r="K106" s="132"/>
      <c r="L106" s="133"/>
      <c r="M106" s="127"/>
      <c r="N106" s="128"/>
    </row>
    <row r="107" spans="1:18" s="10" customFormat="1" ht="12" x14ac:dyDescent="0.2">
      <c r="A107" s="286"/>
      <c r="B107" s="287"/>
      <c r="C107" s="134"/>
      <c r="D107" s="134"/>
      <c r="E107" s="135"/>
      <c r="F107" s="280"/>
      <c r="G107" s="281"/>
      <c r="H107" s="282"/>
      <c r="I107" s="136"/>
      <c r="J107" s="137"/>
      <c r="K107" s="138"/>
      <c r="L107" s="139"/>
      <c r="M107" s="127"/>
      <c r="N107" s="128"/>
    </row>
    <row r="108" spans="1:18" s="10" customFormat="1" thickBot="1" x14ac:dyDescent="0.25">
      <c r="A108" s="288"/>
      <c r="B108" s="289"/>
      <c r="C108" s="140"/>
      <c r="D108" s="140"/>
      <c r="E108" s="48"/>
      <c r="F108" s="283"/>
      <c r="G108" s="284"/>
      <c r="H108" s="285"/>
      <c r="I108" s="141"/>
      <c r="J108" s="142"/>
      <c r="K108" s="143"/>
      <c r="L108" s="103"/>
      <c r="M108" s="127"/>
      <c r="N108" s="128"/>
    </row>
    <row r="109" spans="1:18" s="10" customFormat="1" ht="12" x14ac:dyDescent="0.2">
      <c r="A109" s="257"/>
      <c r="B109" s="258"/>
      <c r="C109" s="258"/>
      <c r="D109" s="258"/>
      <c r="E109" s="258"/>
      <c r="F109" s="258"/>
      <c r="G109" s="258"/>
      <c r="H109" s="259"/>
      <c r="I109" s="141"/>
      <c r="J109" s="142"/>
      <c r="K109" s="143"/>
      <c r="L109" s="103"/>
      <c r="M109" s="127"/>
      <c r="N109" s="128"/>
    </row>
    <row r="110" spans="1:18" s="10" customFormat="1" thickBot="1" x14ac:dyDescent="0.25">
      <c r="A110" s="260"/>
      <c r="B110" s="261"/>
      <c r="C110" s="261"/>
      <c r="D110" s="261"/>
      <c r="E110" s="261"/>
      <c r="F110" s="261"/>
      <c r="G110" s="261"/>
      <c r="H110" s="262"/>
      <c r="I110" s="141"/>
      <c r="J110" s="142"/>
      <c r="K110" s="143"/>
      <c r="L110" s="103"/>
      <c r="M110" s="127"/>
      <c r="N110" s="128"/>
    </row>
    <row r="111" spans="1:18" s="10" customFormat="1" thickBot="1" x14ac:dyDescent="0.25">
      <c r="A111" s="290"/>
      <c r="B111" s="291"/>
      <c r="C111" s="144"/>
      <c r="D111" s="147"/>
      <c r="E111" s="146"/>
      <c r="F111" s="147"/>
      <c r="G111" s="147"/>
      <c r="H111" s="148"/>
      <c r="I111" s="141"/>
      <c r="J111" s="142"/>
      <c r="K111" s="143"/>
      <c r="L111" s="103"/>
      <c r="M111" s="149"/>
      <c r="N111" s="150"/>
    </row>
    <row r="112" spans="1:18" s="159" customFormat="1" thickBot="1" x14ac:dyDescent="0.25">
      <c r="A112" s="151"/>
      <c r="B112" s="152"/>
      <c r="C112" s="152"/>
      <c r="D112" s="153"/>
      <c r="E112" s="154"/>
      <c r="F112" s="155"/>
      <c r="G112" s="154"/>
      <c r="H112" s="154"/>
      <c r="I112" s="156"/>
      <c r="J112" s="156"/>
      <c r="K112" s="157"/>
      <c r="L112" s="156"/>
      <c r="M112" s="156"/>
      <c r="N112" s="158"/>
    </row>
    <row r="113" spans="1:14" s="10" customFormat="1" thickBot="1" x14ac:dyDescent="0.25">
      <c r="A113" s="160"/>
      <c r="B113" s="161"/>
      <c r="C113" s="162"/>
      <c r="D113" s="163"/>
      <c r="E113" s="162"/>
      <c r="F113" s="163"/>
      <c r="G113" s="162"/>
      <c r="H113" s="162"/>
      <c r="I113" s="162"/>
      <c r="J113" s="162"/>
      <c r="K113" s="162"/>
      <c r="L113" s="162"/>
      <c r="M113" s="164"/>
      <c r="N113" s="165"/>
    </row>
    <row r="114" spans="1:14" s="10" customFormat="1" thickBot="1" x14ac:dyDescent="0.25">
      <c r="A114" s="263"/>
      <c r="B114" s="264"/>
      <c r="C114" s="265"/>
      <c r="D114" s="265"/>
      <c r="E114" s="166"/>
      <c r="F114" s="167"/>
      <c r="G114" s="43"/>
      <c r="H114" s="43"/>
      <c r="I114" s="43"/>
      <c r="J114" s="43"/>
      <c r="K114" s="43"/>
      <c r="L114" s="43"/>
      <c r="M114" s="168"/>
      <c r="N114" s="168"/>
    </row>
    <row r="115" spans="1:14" s="10" customFormat="1" thickBot="1" x14ac:dyDescent="0.25">
      <c r="A115" s="169"/>
      <c r="B115" s="170"/>
      <c r="C115" s="171"/>
      <c r="D115" s="171"/>
      <c r="E115" s="171"/>
      <c r="F115" s="172"/>
      <c r="G115" s="226"/>
      <c r="H115" s="43"/>
      <c r="I115" s="43"/>
      <c r="J115" s="43"/>
      <c r="K115" s="43"/>
      <c r="L115" s="43"/>
      <c r="M115" s="168"/>
      <c r="N115" s="168"/>
    </row>
    <row r="116" spans="1:14" s="10" customFormat="1" ht="12" x14ac:dyDescent="0.2">
      <c r="A116" s="173"/>
      <c r="B116" s="174"/>
      <c r="C116" s="174"/>
      <c r="D116" s="11"/>
      <c r="E116" s="11"/>
      <c r="F116" s="175"/>
      <c r="G116" s="43"/>
      <c r="H116" s="43"/>
      <c r="I116" s="43"/>
      <c r="J116" s="43"/>
      <c r="K116" s="43"/>
      <c r="L116" s="43"/>
      <c r="M116" s="168"/>
      <c r="N116" s="168"/>
    </row>
    <row r="117" spans="1:14" s="10" customFormat="1" ht="12" x14ac:dyDescent="0.2">
      <c r="A117" s="176"/>
      <c r="B117" s="177"/>
      <c r="C117" s="178"/>
      <c r="D117" s="178"/>
      <c r="E117" s="178"/>
      <c r="F117" s="179"/>
      <c r="G117" s="178"/>
      <c r="H117" s="43"/>
      <c r="I117" s="43"/>
      <c r="J117" s="43"/>
      <c r="K117" s="43"/>
      <c r="L117" s="43"/>
      <c r="M117" s="168"/>
      <c r="N117" s="168"/>
    </row>
    <row r="118" spans="1:14" s="180" customFormat="1" ht="12" x14ac:dyDescent="0.2">
      <c r="A118" s="176"/>
      <c r="B118" s="177"/>
      <c r="C118" s="178"/>
      <c r="D118" s="178"/>
      <c r="E118" s="178"/>
      <c r="F118" s="179"/>
      <c r="G118" s="178"/>
      <c r="H118" s="43"/>
      <c r="I118" s="43"/>
      <c r="J118" s="43"/>
      <c r="K118" s="43"/>
      <c r="L118" s="43"/>
      <c r="M118" s="168"/>
      <c r="N118" s="168"/>
    </row>
    <row r="119" spans="1:14" s="10" customFormat="1" ht="12" x14ac:dyDescent="0.2">
      <c r="A119" s="176"/>
      <c r="B119" s="177"/>
      <c r="C119" s="178"/>
      <c r="D119" s="178"/>
      <c r="E119" s="178"/>
      <c r="F119" s="179"/>
      <c r="G119" s="43"/>
      <c r="H119" s="43"/>
      <c r="I119" s="43"/>
      <c r="J119" s="43"/>
      <c r="K119" s="43"/>
      <c r="L119" s="43"/>
      <c r="M119" s="168"/>
      <c r="N119" s="168"/>
    </row>
    <row r="120" spans="1:14" s="10" customFormat="1" ht="12" x14ac:dyDescent="0.2">
      <c r="A120" s="176"/>
      <c r="B120" s="177"/>
      <c r="C120" s="178"/>
      <c r="D120" s="178"/>
      <c r="E120" s="178"/>
      <c r="F120" s="179"/>
      <c r="G120" s="43"/>
      <c r="H120" s="43"/>
      <c r="I120" s="43"/>
      <c r="J120" s="43"/>
      <c r="K120" s="43"/>
      <c r="L120" s="43"/>
      <c r="M120" s="168"/>
      <c r="N120" s="168"/>
    </row>
    <row r="121" spans="1:14" s="10" customFormat="1" ht="12" x14ac:dyDescent="0.2">
      <c r="A121" s="176"/>
      <c r="B121" s="177"/>
      <c r="C121" s="178"/>
      <c r="D121" s="178"/>
      <c r="E121" s="178"/>
      <c r="F121" s="179"/>
      <c r="G121" s="43"/>
      <c r="H121" s="43"/>
      <c r="I121" s="43"/>
      <c r="J121" s="43"/>
      <c r="K121" s="43"/>
      <c r="L121" s="43"/>
      <c r="M121" s="168"/>
      <c r="N121" s="168"/>
    </row>
    <row r="122" spans="1:14" s="10" customFormat="1" ht="12" x14ac:dyDescent="0.2">
      <c r="A122" s="176"/>
      <c r="B122" s="177"/>
      <c r="C122" s="178"/>
      <c r="D122" s="178"/>
      <c r="E122" s="178"/>
      <c r="F122" s="179"/>
      <c r="G122" s="43"/>
      <c r="H122" s="43"/>
      <c r="I122" s="43"/>
      <c r="J122" s="43"/>
      <c r="K122" s="43"/>
      <c r="L122" s="43"/>
      <c r="M122" s="168"/>
      <c r="N122" s="168"/>
    </row>
    <row r="123" spans="1:14" s="10" customFormat="1" thickBot="1" x14ac:dyDescent="0.25">
      <c r="A123" s="181"/>
      <c r="B123" s="182"/>
      <c r="C123" s="183"/>
      <c r="D123" s="183"/>
      <c r="E123" s="183"/>
      <c r="F123" s="184"/>
      <c r="G123" s="43"/>
      <c r="H123" s="43"/>
      <c r="I123" s="43"/>
      <c r="J123" s="43"/>
      <c r="K123" s="43"/>
      <c r="L123" s="43"/>
      <c r="M123" s="168"/>
      <c r="N123" s="168"/>
    </row>
    <row r="124" spans="1:14" x14ac:dyDescent="0.2"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C126" s="58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C127" s="56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3:14" x14ac:dyDescent="0.2"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3:14" x14ac:dyDescent="0.2"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3:14" x14ac:dyDescent="0.2"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3:14" x14ac:dyDescent="0.2"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3:14" x14ac:dyDescent="0.2"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3:14" x14ac:dyDescent="0.2"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3:14" x14ac:dyDescent="0.2"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3:14" x14ac:dyDescent="0.2"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3:14" x14ac:dyDescent="0.2"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3:14" x14ac:dyDescent="0.2"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3:14" x14ac:dyDescent="0.2"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3:14" x14ac:dyDescent="0.2"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3:14" x14ac:dyDescent="0.2"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3:14" x14ac:dyDescent="0.2"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3:14" x14ac:dyDescent="0.2"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3:14" x14ac:dyDescent="0.2"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3:14" x14ac:dyDescent="0.2"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3:14" x14ac:dyDescent="0.2"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3:14" x14ac:dyDescent="0.2"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3:14" x14ac:dyDescent="0.2"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3:14" x14ac:dyDescent="0.2"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3:14" x14ac:dyDescent="0.2"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3:14" x14ac:dyDescent="0.2"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3:14" x14ac:dyDescent="0.2"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3:14" x14ac:dyDescent="0.2"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3:14" x14ac:dyDescent="0.2"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3:14" x14ac:dyDescent="0.2"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3:14" x14ac:dyDescent="0.2"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3:14" x14ac:dyDescent="0.2"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3:14" x14ac:dyDescent="0.2"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3:14" x14ac:dyDescent="0.2"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3:14" x14ac:dyDescent="0.2"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3:14" x14ac:dyDescent="0.2"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3:14" x14ac:dyDescent="0.2"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3:14" x14ac:dyDescent="0.2"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3:14" x14ac:dyDescent="0.2"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3:14" x14ac:dyDescent="0.2"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3:14" x14ac:dyDescent="0.2"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3:14" x14ac:dyDescent="0.2"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3:14" x14ac:dyDescent="0.2"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3:14" x14ac:dyDescent="0.2"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3:14" x14ac:dyDescent="0.2"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3:14" x14ac:dyDescent="0.2"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3:14" x14ac:dyDescent="0.2"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3:14" x14ac:dyDescent="0.2"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3:14" x14ac:dyDescent="0.2"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3:14" x14ac:dyDescent="0.2"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3:14" x14ac:dyDescent="0.2"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3:14" x14ac:dyDescent="0.2"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3:14" x14ac:dyDescent="0.2"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3:14" x14ac:dyDescent="0.2"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3:14" x14ac:dyDescent="0.2"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3:14" x14ac:dyDescent="0.2"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3:14" x14ac:dyDescent="0.2"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3:14" x14ac:dyDescent="0.2"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3:14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3:14" x14ac:dyDescent="0.2"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3:14" x14ac:dyDescent="0.2"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3:14" x14ac:dyDescent="0.2"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3:14" x14ac:dyDescent="0.2"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3:14" x14ac:dyDescent="0.2"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3:14" x14ac:dyDescent="0.2"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3:14" x14ac:dyDescent="0.2"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3:14" x14ac:dyDescent="0.2"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3:14" x14ac:dyDescent="0.2"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3:14" x14ac:dyDescent="0.2"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3:14" x14ac:dyDescent="0.2"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3:14" x14ac:dyDescent="0.2"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3:14" x14ac:dyDescent="0.2"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3:14" x14ac:dyDescent="0.2"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3:14" x14ac:dyDescent="0.2"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3:14" x14ac:dyDescent="0.2"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3:14" x14ac:dyDescent="0.2"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3:14" x14ac:dyDescent="0.2"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3:14" x14ac:dyDescent="0.2"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3:14" x14ac:dyDescent="0.2"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3:14" x14ac:dyDescent="0.2"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3:14" x14ac:dyDescent="0.2"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3:14" x14ac:dyDescent="0.2"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3:14" x14ac:dyDescent="0.2"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3:14" x14ac:dyDescent="0.2"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3:14" x14ac:dyDescent="0.2"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3:14" x14ac:dyDescent="0.2"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3:14" x14ac:dyDescent="0.2"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3:14" x14ac:dyDescent="0.2"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3:14" x14ac:dyDescent="0.2"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3:14" x14ac:dyDescent="0.2"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3:14" x14ac:dyDescent="0.2"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3:14" x14ac:dyDescent="0.2"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3:14" x14ac:dyDescent="0.2"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3:14" x14ac:dyDescent="0.2"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3:14" x14ac:dyDescent="0.2"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3:14" x14ac:dyDescent="0.2"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3:14" x14ac:dyDescent="0.2"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3:14" x14ac:dyDescent="0.2"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3:14" x14ac:dyDescent="0.2"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3:14" x14ac:dyDescent="0.2"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3:14" x14ac:dyDescent="0.2"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3:14" x14ac:dyDescent="0.2"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3:14" x14ac:dyDescent="0.2"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3:14" x14ac:dyDescent="0.2"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3:14" x14ac:dyDescent="0.2"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3:14" x14ac:dyDescent="0.2"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3:14" x14ac:dyDescent="0.2"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3:14" x14ac:dyDescent="0.2"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3:14" x14ac:dyDescent="0.2"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3:14" x14ac:dyDescent="0.2"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3:14" x14ac:dyDescent="0.2"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3:14" x14ac:dyDescent="0.2"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3:14" x14ac:dyDescent="0.2"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3:14" x14ac:dyDescent="0.2"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3:14" x14ac:dyDescent="0.2"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3:14" x14ac:dyDescent="0.2"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3:14" x14ac:dyDescent="0.2"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3:14" x14ac:dyDescent="0.2"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3:14" x14ac:dyDescent="0.2"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3:14" x14ac:dyDescent="0.2"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3:14" x14ac:dyDescent="0.2"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3:14" x14ac:dyDescent="0.2"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3:14" x14ac:dyDescent="0.2"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3:14" x14ac:dyDescent="0.2"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3:14" x14ac:dyDescent="0.2"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3:14" x14ac:dyDescent="0.2"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3:14" x14ac:dyDescent="0.2"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3:14" x14ac:dyDescent="0.2"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3:14" x14ac:dyDescent="0.2"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3:14" x14ac:dyDescent="0.2"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3:14" x14ac:dyDescent="0.2"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3:14" x14ac:dyDescent="0.2"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3:14" x14ac:dyDescent="0.2"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3:14" x14ac:dyDescent="0.2"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3:14" x14ac:dyDescent="0.2"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3:14" x14ac:dyDescent="0.2"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3:14" x14ac:dyDescent="0.2"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3:14" x14ac:dyDescent="0.2"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3:14" x14ac:dyDescent="0.2"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3:14" x14ac:dyDescent="0.2"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3:14" x14ac:dyDescent="0.2"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3:14" x14ac:dyDescent="0.2"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3:14" x14ac:dyDescent="0.2"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3:14" x14ac:dyDescent="0.2"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3:14" x14ac:dyDescent="0.2"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3:14" x14ac:dyDescent="0.2"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3:14" x14ac:dyDescent="0.2"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3:14" x14ac:dyDescent="0.2"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3:14" x14ac:dyDescent="0.2"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3:14" x14ac:dyDescent="0.2"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3:14" x14ac:dyDescent="0.2"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3:14" x14ac:dyDescent="0.2"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3:14" x14ac:dyDescent="0.2"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3:14" x14ac:dyDescent="0.2"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3:14" x14ac:dyDescent="0.2"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3:14" x14ac:dyDescent="0.2"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3:14" x14ac:dyDescent="0.2"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3:14" x14ac:dyDescent="0.2"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3:14" x14ac:dyDescent="0.2"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3:14" x14ac:dyDescent="0.2"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3:14" x14ac:dyDescent="0.2"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3:14" x14ac:dyDescent="0.2"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3:14" x14ac:dyDescent="0.2"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3:14" x14ac:dyDescent="0.2"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3:14" x14ac:dyDescent="0.2"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3:14" x14ac:dyDescent="0.2"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3:14" x14ac:dyDescent="0.2"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3:14" x14ac:dyDescent="0.2"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3:14" x14ac:dyDescent="0.2"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3:14" x14ac:dyDescent="0.2"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3:14" x14ac:dyDescent="0.2"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3:14" x14ac:dyDescent="0.2"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3:14" x14ac:dyDescent="0.2"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3:14" x14ac:dyDescent="0.2"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3:14" x14ac:dyDescent="0.2"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3:14" x14ac:dyDescent="0.2"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3:14" x14ac:dyDescent="0.2"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3:14" x14ac:dyDescent="0.2"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3:14" x14ac:dyDescent="0.2"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3:14" x14ac:dyDescent="0.2"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3:14" x14ac:dyDescent="0.2"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3:14" x14ac:dyDescent="0.2"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3:14" x14ac:dyDescent="0.2"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3:14" x14ac:dyDescent="0.2"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3:14" x14ac:dyDescent="0.2"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3:14" x14ac:dyDescent="0.2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3:14" x14ac:dyDescent="0.2"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3:14" x14ac:dyDescent="0.2"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3:14" x14ac:dyDescent="0.2"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3:14" x14ac:dyDescent="0.2"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3:14" x14ac:dyDescent="0.2"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3:14" x14ac:dyDescent="0.2"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3:14" x14ac:dyDescent="0.2"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3:14" x14ac:dyDescent="0.2"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3:14" x14ac:dyDescent="0.2"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3:14" x14ac:dyDescent="0.2"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3:14" x14ac:dyDescent="0.2"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3:14" x14ac:dyDescent="0.2"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3:14" x14ac:dyDescent="0.2"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3:14" x14ac:dyDescent="0.2"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3:14" x14ac:dyDescent="0.2"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3:14" x14ac:dyDescent="0.2"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3:14" x14ac:dyDescent="0.2"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3:14" x14ac:dyDescent="0.2"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3:14" x14ac:dyDescent="0.2"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3:14" x14ac:dyDescent="0.2"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3:14" x14ac:dyDescent="0.2"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3:14" x14ac:dyDescent="0.2"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3:14" x14ac:dyDescent="0.2"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3:14" x14ac:dyDescent="0.2"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3:14" x14ac:dyDescent="0.2"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3:14" x14ac:dyDescent="0.2"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3:14" x14ac:dyDescent="0.2"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3:14" x14ac:dyDescent="0.2"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3:14" x14ac:dyDescent="0.2"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3:14" x14ac:dyDescent="0.2"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3:14" x14ac:dyDescent="0.2"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3:14" x14ac:dyDescent="0.2"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3:14" x14ac:dyDescent="0.2"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3:14" x14ac:dyDescent="0.2"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3:14" x14ac:dyDescent="0.2"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3:14" x14ac:dyDescent="0.2"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3:14" x14ac:dyDescent="0.2"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3:14" x14ac:dyDescent="0.2"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3:14" x14ac:dyDescent="0.2"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3:14" x14ac:dyDescent="0.2"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3:14" x14ac:dyDescent="0.2"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3:14" x14ac:dyDescent="0.2"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3:14" x14ac:dyDescent="0.2"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3:14" x14ac:dyDescent="0.2"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3:14" x14ac:dyDescent="0.2"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3:14" x14ac:dyDescent="0.2"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3:14" x14ac:dyDescent="0.2"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3:14" x14ac:dyDescent="0.2"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3:14" x14ac:dyDescent="0.2"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3:14" x14ac:dyDescent="0.2"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3:14" x14ac:dyDescent="0.2"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3:14" x14ac:dyDescent="0.2"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3:14" x14ac:dyDescent="0.2"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3:14" x14ac:dyDescent="0.2"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3:14" x14ac:dyDescent="0.2"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3:14" x14ac:dyDescent="0.2"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3:14" x14ac:dyDescent="0.2"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3:14" x14ac:dyDescent="0.2"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3:14" x14ac:dyDescent="0.2"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3:14" x14ac:dyDescent="0.2"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3:14" x14ac:dyDescent="0.2"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3:14" x14ac:dyDescent="0.2"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3:14" x14ac:dyDescent="0.2"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3:14" x14ac:dyDescent="0.2"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</sheetData>
  <mergeCells count="35">
    <mergeCell ref="A1:C3"/>
    <mergeCell ref="A11:C13"/>
    <mergeCell ref="R13:S13"/>
    <mergeCell ref="A29:B29"/>
    <mergeCell ref="F29:H32"/>
    <mergeCell ref="I29:L29"/>
    <mergeCell ref="A30:B30"/>
    <mergeCell ref="A31:B31"/>
    <mergeCell ref="A32:B32"/>
    <mergeCell ref="A33:H34"/>
    <mergeCell ref="A35:B35"/>
    <mergeCell ref="A38:B38"/>
    <mergeCell ref="C38:D38"/>
    <mergeCell ref="A49:C51"/>
    <mergeCell ref="I105:L105"/>
    <mergeCell ref="A106:B106"/>
    <mergeCell ref="A107:B107"/>
    <mergeCell ref="A108:B108"/>
    <mergeCell ref="I67:L67"/>
    <mergeCell ref="A68:B68"/>
    <mergeCell ref="A69:B69"/>
    <mergeCell ref="A70:B70"/>
    <mergeCell ref="A71:H72"/>
    <mergeCell ref="A73:B73"/>
    <mergeCell ref="A67:B67"/>
    <mergeCell ref="F67:H70"/>
    <mergeCell ref="A109:H110"/>
    <mergeCell ref="A111:B111"/>
    <mergeCell ref="A114:B114"/>
    <mergeCell ref="C114:D114"/>
    <mergeCell ref="A76:B76"/>
    <mergeCell ref="C76:D76"/>
    <mergeCell ref="A87:C89"/>
    <mergeCell ref="A105:B105"/>
    <mergeCell ref="F105:H108"/>
  </mergeCells>
  <pageMargins left="0.7" right="0.7" top="0.75" bottom="0.75" header="0.3" footer="0.3"/>
  <ignoredErrors>
    <ignoredError sqref="E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K070002</vt:lpstr>
      <vt:lpstr>Sheet3</vt:lpstr>
      <vt:lpstr>BA</vt:lpstr>
      <vt:lpstr>CE</vt:lpstr>
      <vt:lpstr>CEP</vt:lpstr>
      <vt:lpstr>FM</vt:lpstr>
      <vt:lpstr>GRUP</vt:lpstr>
      <vt:lpstr>HE</vt:lpstr>
      <vt:lpstr>LA</vt:lpstr>
      <vt:lpstr>LO</vt:lpstr>
      <vt:lpstr>PR</vt:lpstr>
      <vt:lpstr>Pulp</vt:lpstr>
      <vt:lpstr>SP</vt:lpstr>
      <vt:lpstr>WH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2018-11-27T00:53:39Z</cp:lastPrinted>
  <dcterms:created xsi:type="dcterms:W3CDTF">2013-11-19T23:22:35Z</dcterms:created>
  <dcterms:modified xsi:type="dcterms:W3CDTF">2018-11-28T23:08:13Z</dcterms:modified>
</cp:coreProperties>
</file>